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turhaase/Dropbox/German Events GmbH &amp; Co. KG/German Poker Online/"/>
    </mc:Choice>
  </mc:AlternateContent>
  <xr:revisionPtr revIDLastSave="0" documentId="8_{3CABD20C-6B39-1944-9891-5855116FDDF4}" xr6:coauthVersionLast="47" xr6:coauthVersionMax="47" xr10:uidLastSave="{00000000-0000-0000-0000-000000000000}"/>
  <bookViews>
    <workbookView xWindow="0" yWindow="500" windowWidth="35840" windowHeight="20880" activeTab="1" xr2:uid="{2D3BBE86-C252-FE49-B42A-316A4BB4BE92}"/>
  </bookViews>
  <sheets>
    <sheet name="Tabelle1" sheetId="2" r:id="rId1"/>
    <sheet name="Ranglis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6" i="1" l="1"/>
  <c r="AD22" i="1"/>
  <c r="R22" i="1"/>
  <c r="AD21" i="1"/>
  <c r="AD20" i="1"/>
  <c r="AD17" i="1"/>
  <c r="AD15" i="1"/>
  <c r="AC15" i="1"/>
  <c r="AC40" i="1"/>
  <c r="AC25" i="1"/>
  <c r="AC20" i="1"/>
  <c r="AC22" i="1"/>
  <c r="AC24" i="1"/>
  <c r="AC21" i="1"/>
  <c r="AC102" i="1"/>
  <c r="AC108" i="1"/>
  <c r="AC93" i="1"/>
  <c r="AC26" i="1"/>
  <c r="AC122" i="1"/>
  <c r="AB21" i="1"/>
  <c r="AB26" i="1"/>
  <c r="AB17" i="1"/>
  <c r="AB20" i="1"/>
  <c r="AB25" i="1"/>
  <c r="AB54" i="1"/>
  <c r="AB22" i="1"/>
  <c r="AB24" i="1"/>
  <c r="AB94" i="1"/>
  <c r="AB35" i="1"/>
  <c r="AB105" i="1"/>
  <c r="AB89" i="1"/>
  <c r="AB111" i="1"/>
  <c r="AB83" i="1"/>
  <c r="AD83" i="1" s="1"/>
  <c r="AB52" i="1"/>
  <c r="AB101" i="1"/>
  <c r="AB93" i="1"/>
  <c r="AD37" i="1"/>
  <c r="AD38" i="1"/>
  <c r="AD39" i="1"/>
  <c r="AD41" i="1"/>
  <c r="AD42" i="1"/>
  <c r="AD43" i="1"/>
  <c r="AD40" i="1"/>
  <c r="AD44" i="1"/>
  <c r="AD45" i="1"/>
  <c r="AD46" i="1"/>
  <c r="AD47" i="1"/>
  <c r="AD48" i="1"/>
  <c r="AD49" i="1"/>
  <c r="AD50" i="1"/>
  <c r="AD51" i="1"/>
  <c r="AD53" i="1"/>
  <c r="AD55" i="1"/>
  <c r="AD56" i="1"/>
  <c r="AD57" i="1"/>
  <c r="AD58" i="1"/>
  <c r="AD59" i="1"/>
  <c r="AD60" i="1"/>
  <c r="AD61" i="1"/>
  <c r="AD52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54" i="1"/>
  <c r="AD81" i="1"/>
  <c r="AD82" i="1"/>
  <c r="AD84" i="1"/>
  <c r="AD85" i="1"/>
  <c r="AD86" i="1"/>
  <c r="AD87" i="1"/>
  <c r="AD88" i="1"/>
  <c r="AD90" i="1"/>
  <c r="AD91" i="1"/>
  <c r="AD92" i="1"/>
  <c r="AD95" i="1"/>
  <c r="AD96" i="1"/>
  <c r="AD97" i="1"/>
  <c r="AD98" i="1"/>
  <c r="AD99" i="1"/>
  <c r="AD100" i="1"/>
  <c r="AD103" i="1"/>
  <c r="AD104" i="1"/>
  <c r="AD106" i="1"/>
  <c r="AD107" i="1"/>
  <c r="AD109" i="1"/>
  <c r="AD110" i="1"/>
  <c r="AD112" i="1"/>
  <c r="AD113" i="1"/>
  <c r="AD114" i="1"/>
  <c r="AD115" i="1"/>
  <c r="AD116" i="1"/>
  <c r="AD117" i="1"/>
  <c r="AD118" i="1"/>
  <c r="AD119" i="1"/>
  <c r="AD120" i="1"/>
  <c r="AD121" i="1"/>
  <c r="AD123" i="1"/>
  <c r="AD124" i="1"/>
  <c r="AD125" i="1"/>
  <c r="AD126" i="1"/>
  <c r="AD127" i="1"/>
  <c r="AD128" i="1"/>
  <c r="AD89" i="1"/>
  <c r="AD129" i="1"/>
  <c r="AD130" i="1"/>
  <c r="AD131" i="1"/>
  <c r="AD101" i="1"/>
  <c r="AD93" i="1"/>
  <c r="AD111" i="1"/>
  <c r="AD105" i="1"/>
  <c r="AD94" i="1"/>
  <c r="AD122" i="1"/>
  <c r="AD108" i="1"/>
  <c r="AD102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35" i="1"/>
  <c r="AD36" i="1"/>
  <c r="AD34" i="1"/>
  <c r="AD27" i="1"/>
  <c r="AD28" i="1"/>
  <c r="AD29" i="1"/>
  <c r="AD30" i="1"/>
  <c r="AD25" i="1"/>
  <c r="AD24" i="1"/>
  <c r="AD31" i="1"/>
  <c r="AD32" i="1"/>
  <c r="AD33" i="1"/>
  <c r="AD23" i="1"/>
  <c r="AD19" i="1"/>
  <c r="AD18" i="1"/>
  <c r="AD16" i="1"/>
  <c r="AA25" i="1"/>
  <c r="AA68" i="1"/>
  <c r="AA24" i="1"/>
  <c r="AA19" i="1"/>
  <c r="AA21" i="1"/>
  <c r="AA46" i="1"/>
  <c r="AA81" i="1"/>
  <c r="AA15" i="1"/>
  <c r="AA17" i="1"/>
  <c r="AA92" i="1"/>
  <c r="AA23" i="1"/>
  <c r="AA26" i="1"/>
  <c r="AA106" i="1"/>
  <c r="AA54" i="1"/>
  <c r="AA112" i="1"/>
  <c r="AA52" i="1"/>
  <c r="AA70" i="1"/>
  <c r="AA89" i="1"/>
  <c r="AA27" i="1"/>
  <c r="Z21" i="1"/>
  <c r="Z22" i="1"/>
  <c r="Z19" i="1"/>
  <c r="Z15" i="1"/>
  <c r="Z17" i="1"/>
  <c r="Z91" i="1"/>
  <c r="Z25" i="1"/>
  <c r="Z18" i="1"/>
  <c r="Z97" i="1"/>
  <c r="Z54" i="1"/>
  <c r="Z26" i="1"/>
  <c r="Z52" i="1"/>
  <c r="Z70" i="1"/>
  <c r="Z114" i="1"/>
  <c r="Y15" i="1"/>
  <c r="Y69" i="1"/>
  <c r="Y25" i="1"/>
  <c r="Y16" i="1"/>
  <c r="Y77" i="1"/>
  <c r="Y17" i="1"/>
  <c r="Y22" i="1"/>
  <c r="Y86" i="1"/>
  <c r="Y20" i="1"/>
  <c r="Y19" i="1"/>
  <c r="Y18" i="1"/>
  <c r="Y46" i="1"/>
  <c r="Y100" i="1"/>
  <c r="Y109" i="1"/>
  <c r="Y87" i="1"/>
  <c r="Y52" i="1"/>
  <c r="Y70" i="1"/>
  <c r="Y101" i="1"/>
  <c r="Y26" i="1"/>
  <c r="R20" i="1"/>
  <c r="X35" i="1"/>
  <c r="X15" i="1"/>
  <c r="X18" i="1"/>
  <c r="X23" i="1"/>
  <c r="X22" i="1"/>
  <c r="X16" i="1"/>
  <c r="X19" i="1"/>
  <c r="X40" i="1"/>
  <c r="X21" i="1"/>
  <c r="X96" i="1"/>
  <c r="X20" i="1"/>
  <c r="X24" i="1"/>
  <c r="X41" i="1"/>
  <c r="X113" i="1"/>
  <c r="X87" i="1"/>
  <c r="X52" i="1"/>
  <c r="W83" i="1"/>
  <c r="W59" i="1"/>
  <c r="W20" i="1"/>
  <c r="W37" i="1"/>
  <c r="W18" i="1"/>
  <c r="W19" i="1"/>
  <c r="W74" i="1"/>
  <c r="W16" i="1"/>
  <c r="W80" i="1"/>
  <c r="W21" i="1"/>
  <c r="W17" i="1"/>
  <c r="W35" i="1"/>
  <c r="W15" i="1"/>
  <c r="W39" i="1"/>
  <c r="W28" i="1"/>
  <c r="W104" i="1"/>
  <c r="W24" i="1"/>
  <c r="W123" i="1"/>
  <c r="W95" i="1"/>
  <c r="W26" i="1"/>
  <c r="V16" i="1"/>
  <c r="V26" i="1"/>
  <c r="V18" i="1"/>
  <c r="V66" i="1"/>
  <c r="V17" i="1"/>
  <c r="V24" i="1"/>
  <c r="V22" i="1"/>
  <c r="V39" i="1"/>
  <c r="V21" i="1"/>
  <c r="V20" i="1"/>
  <c r="V15" i="1"/>
  <c r="V90" i="1"/>
  <c r="V19" i="1"/>
  <c r="V35" i="1"/>
  <c r="V23" i="1"/>
  <c r="V29" i="1"/>
  <c r="V119" i="1"/>
  <c r="V118" i="1"/>
  <c r="V131" i="1"/>
  <c r="V124" i="1"/>
  <c r="U20" i="1"/>
  <c r="U16" i="1"/>
  <c r="U103" i="1"/>
  <c r="U110" i="1"/>
  <c r="U17" i="1"/>
  <c r="U23" i="1"/>
  <c r="U19" i="1"/>
  <c r="U25" i="1"/>
  <c r="U18" i="1"/>
  <c r="U21" i="1"/>
  <c r="U55" i="1"/>
  <c r="U15" i="1"/>
  <c r="U39" i="1"/>
  <c r="U40" i="1"/>
  <c r="U37" i="1"/>
  <c r="U70" i="1"/>
  <c r="U126" i="1"/>
  <c r="U127" i="1"/>
  <c r="U26" i="1"/>
  <c r="U124" i="1"/>
  <c r="T24" i="1"/>
  <c r="T17" i="1"/>
  <c r="T15" i="1"/>
  <c r="T27" i="1"/>
  <c r="T20" i="1"/>
  <c r="T18" i="1"/>
  <c r="T39" i="1"/>
  <c r="T19" i="1"/>
  <c r="T16" i="1"/>
  <c r="T31" i="1"/>
  <c r="T25" i="1"/>
  <c r="T29" i="1"/>
  <c r="T26" i="1"/>
  <c r="T23" i="1"/>
  <c r="T21" i="1"/>
  <c r="T41" i="1"/>
  <c r="T117" i="1"/>
  <c r="T116" i="1"/>
  <c r="T130" i="1"/>
  <c r="T52" i="1"/>
  <c r="S30" i="1"/>
  <c r="S17" i="1"/>
  <c r="S18" i="1"/>
  <c r="S15" i="1"/>
  <c r="S29" i="1"/>
  <c r="S62" i="1"/>
  <c r="S20" i="1"/>
  <c r="S19" i="1"/>
  <c r="S21" i="1"/>
  <c r="S24" i="1"/>
  <c r="S40" i="1"/>
  <c r="S16" i="1"/>
  <c r="S22" i="1"/>
  <c r="S41" i="1"/>
  <c r="S25" i="1"/>
  <c r="S23" i="1"/>
  <c r="S39" i="1"/>
  <c r="S34" i="1"/>
  <c r="S26" i="1"/>
  <c r="S27" i="1"/>
  <c r="R23" i="1"/>
  <c r="R29" i="1"/>
  <c r="R18" i="1"/>
  <c r="R25" i="1"/>
  <c r="R27" i="1"/>
  <c r="R30" i="1"/>
  <c r="R67" i="1"/>
  <c r="R17" i="1"/>
  <c r="R15" i="1"/>
  <c r="R35" i="1"/>
  <c r="R82" i="1"/>
  <c r="R40" i="1"/>
  <c r="R31" i="1"/>
  <c r="R21" i="1"/>
  <c r="R34" i="1"/>
  <c r="R107" i="1"/>
  <c r="R95" i="1"/>
  <c r="R45" i="1"/>
  <c r="P19" i="1"/>
  <c r="P22" i="1"/>
  <c r="P26" i="1"/>
  <c r="P23" i="1"/>
  <c r="P30" i="1"/>
  <c r="P73" i="1"/>
  <c r="P20" i="1"/>
  <c r="P25" i="1"/>
  <c r="P28" i="1"/>
  <c r="P85" i="1"/>
  <c r="P65" i="1"/>
  <c r="P31" i="1"/>
  <c r="P38" i="1"/>
  <c r="P36" i="1"/>
  <c r="P17" i="1"/>
  <c r="P16" i="1"/>
  <c r="P121" i="1"/>
  <c r="P15" i="1"/>
  <c r="P46" i="1"/>
  <c r="P21" i="1"/>
  <c r="O15" i="1"/>
  <c r="O16" i="1"/>
  <c r="O27" i="1"/>
  <c r="O34" i="1"/>
  <c r="O28" i="1"/>
  <c r="O43" i="1"/>
  <c r="O26" i="1"/>
  <c r="O38" i="1"/>
  <c r="O71" i="1"/>
  <c r="O41" i="1"/>
  <c r="O19" i="1"/>
  <c r="O37" i="1"/>
  <c r="O25" i="1"/>
  <c r="O22" i="1"/>
  <c r="O35" i="1"/>
  <c r="O36" i="1"/>
  <c r="O44" i="1"/>
  <c r="O31" i="1"/>
  <c r="O21" i="1"/>
  <c r="O129" i="1"/>
  <c r="N41" i="1"/>
  <c r="N61" i="1"/>
  <c r="N57" i="1"/>
  <c r="N23" i="1"/>
  <c r="N16" i="1"/>
  <c r="N33" i="1"/>
  <c r="N27" i="1"/>
  <c r="N17" i="1"/>
  <c r="N18" i="1"/>
  <c r="N28" i="1"/>
  <c r="N78" i="1"/>
  <c r="N20" i="1"/>
  <c r="N19" i="1"/>
  <c r="N24" i="1"/>
  <c r="N21" i="1"/>
  <c r="N22" i="1"/>
  <c r="N32" i="1"/>
  <c r="N36" i="1"/>
  <c r="N84" i="1"/>
  <c r="N15" i="1"/>
  <c r="K18" i="1"/>
  <c r="M17" i="1"/>
  <c r="M31" i="1"/>
  <c r="M16" i="1"/>
  <c r="M15" i="1"/>
  <c r="M48" i="1"/>
  <c r="M32" i="1"/>
  <c r="M20" i="1"/>
  <c r="M18" i="1"/>
  <c r="M58" i="1"/>
  <c r="M34" i="1"/>
  <c r="M37" i="1"/>
  <c r="M19" i="1"/>
  <c r="M30" i="1"/>
  <c r="M28" i="1"/>
  <c r="M38" i="1"/>
  <c r="M36" i="1"/>
  <c r="M46" i="1"/>
  <c r="M23" i="1"/>
  <c r="M33" i="1"/>
  <c r="M125" i="1"/>
  <c r="L33" i="1"/>
  <c r="L26" i="1"/>
  <c r="L47" i="1"/>
  <c r="L50" i="1"/>
  <c r="L20" i="1"/>
  <c r="L16" i="1"/>
  <c r="L60" i="1"/>
  <c r="L36" i="1"/>
  <c r="L64" i="1"/>
  <c r="L29" i="1"/>
  <c r="L31" i="1"/>
  <c r="L17" i="1"/>
  <c r="L28" i="1"/>
  <c r="L18" i="1"/>
  <c r="L22" i="1"/>
  <c r="L38" i="1"/>
  <c r="L99" i="1"/>
  <c r="L98" i="1"/>
  <c r="L128" i="1"/>
  <c r="L23" i="1"/>
  <c r="K27" i="1"/>
  <c r="K15" i="1"/>
  <c r="K17" i="1"/>
  <c r="K30" i="1"/>
  <c r="K22" i="1"/>
  <c r="K49" i="1"/>
  <c r="K51" i="1"/>
  <c r="K28" i="1"/>
  <c r="K56" i="1"/>
  <c r="K33" i="1"/>
  <c r="K21" i="1"/>
  <c r="K23" i="1"/>
  <c r="K19" i="1"/>
  <c r="K79" i="1"/>
  <c r="K55" i="1"/>
  <c r="K84" i="1"/>
  <c r="K32" i="1"/>
  <c r="K120" i="1"/>
  <c r="K34" i="1"/>
  <c r="J19" i="1"/>
  <c r="J42" i="1"/>
  <c r="J32" i="1"/>
  <c r="J21" i="1"/>
  <c r="J15" i="1"/>
  <c r="J16" i="1"/>
  <c r="J24" i="1"/>
  <c r="J44" i="1"/>
  <c r="J29" i="1"/>
  <c r="J53" i="1"/>
  <c r="J63" i="1"/>
  <c r="J43" i="1"/>
  <c r="J72" i="1"/>
  <c r="J20" i="1"/>
  <c r="J75" i="1"/>
  <c r="J76" i="1"/>
  <c r="J88" i="1"/>
  <c r="J65" i="1"/>
  <c r="J115" i="1"/>
  <c r="J30" i="1"/>
  <c r="AD172" i="1" l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</calcChain>
</file>

<file path=xl/sharedStrings.xml><?xml version="1.0" encoding="utf-8"?>
<sst xmlns="http://schemas.openxmlformats.org/spreadsheetml/2006/main" count="182" uniqueCount="181">
  <si>
    <t>Spieler Name</t>
  </si>
  <si>
    <t>Junimond</t>
  </si>
  <si>
    <t>Tschuenni</t>
  </si>
  <si>
    <t>De Paelzer</t>
  </si>
  <si>
    <t>quitschibu1984</t>
  </si>
  <si>
    <t>Platzierung</t>
  </si>
  <si>
    <t>Gesamtpunktzahl</t>
  </si>
  <si>
    <t>PUNKTE</t>
  </si>
  <si>
    <t>tomaldinjo199</t>
  </si>
  <si>
    <t>Hackboulette</t>
  </si>
  <si>
    <t>1. Spieltag (01.11.)</t>
  </si>
  <si>
    <t>20 (1 %)</t>
  </si>
  <si>
    <t>19 (1 %)</t>
  </si>
  <si>
    <t>18 (2 %)</t>
  </si>
  <si>
    <t>17 (2 %)</t>
  </si>
  <si>
    <t>16 (3 %)</t>
  </si>
  <si>
    <t>15 (3 %)</t>
  </si>
  <si>
    <t>10 (5 %)</t>
  </si>
  <si>
    <t>8 (6 %)</t>
  </si>
  <si>
    <t>Grondlinger</t>
  </si>
  <si>
    <t>530 Punkte</t>
  </si>
  <si>
    <t>2.Spieltag (04.12.)</t>
  </si>
  <si>
    <t>4.Spieltag (06.12.)</t>
  </si>
  <si>
    <t>5.Spieltag (07.12.)</t>
  </si>
  <si>
    <t>6.Spieltag (08.12.)</t>
  </si>
  <si>
    <t>12 (4 %)</t>
  </si>
  <si>
    <t>11 (4 %)</t>
  </si>
  <si>
    <t>6 (7 %)</t>
  </si>
  <si>
    <t>4 (8 %)</t>
  </si>
  <si>
    <t>2 (9 %)</t>
  </si>
  <si>
    <t>Ka7Te89</t>
  </si>
  <si>
    <t>nobody.007</t>
  </si>
  <si>
    <t>AxelFoley</t>
  </si>
  <si>
    <t>Countdonkalot</t>
  </si>
  <si>
    <t>Malibu_HH1887</t>
  </si>
  <si>
    <t>NuckingFuts88</t>
  </si>
  <si>
    <t>pokerrolli72</t>
  </si>
  <si>
    <t>DOn88222</t>
  </si>
  <si>
    <t>mikestock1</t>
  </si>
  <si>
    <t>Uterdiansa</t>
  </si>
  <si>
    <t>MCHORN68</t>
  </si>
  <si>
    <t>GTOseinVater</t>
  </si>
  <si>
    <t>480 Punkte</t>
  </si>
  <si>
    <t>KennyCologne</t>
  </si>
  <si>
    <t>sonyduisburg47</t>
  </si>
  <si>
    <t>Pic-Ace</t>
  </si>
  <si>
    <t>matrixzz</t>
  </si>
  <si>
    <t>ReSpEcT-My</t>
  </si>
  <si>
    <t>HappyFunnyGuy</t>
  </si>
  <si>
    <t>ReRaise1</t>
  </si>
  <si>
    <t>Corrado.Weed</t>
  </si>
  <si>
    <t>JoAAnito</t>
  </si>
  <si>
    <t>Schorle1987</t>
  </si>
  <si>
    <t>Pancooo</t>
  </si>
  <si>
    <t>Luene_PKR</t>
  </si>
  <si>
    <t>AlDorado</t>
  </si>
  <si>
    <t>Damir971</t>
  </si>
  <si>
    <t>GoPl4ySolitaire</t>
  </si>
  <si>
    <t>380 Punkte</t>
  </si>
  <si>
    <t>Brramrod</t>
  </si>
  <si>
    <t>PewLasergunPEW</t>
  </si>
  <si>
    <t>MrChiiips</t>
  </si>
  <si>
    <t>TheRealDigg4</t>
  </si>
  <si>
    <t>Usherpeter76</t>
  </si>
  <si>
    <t>Bregenz Player</t>
  </si>
  <si>
    <t>LogDoc</t>
  </si>
  <si>
    <t>Rodzscher_56</t>
  </si>
  <si>
    <t>S.Kalinin</t>
  </si>
  <si>
    <t>Barbarossa</t>
  </si>
  <si>
    <t>HW8799</t>
  </si>
  <si>
    <t>3.Spieltag (05.12.)</t>
  </si>
  <si>
    <t>420 Punkte</t>
  </si>
  <si>
    <t>HansJasper</t>
  </si>
  <si>
    <t>KapitanTymu</t>
  </si>
  <si>
    <t>Betzeteufel</t>
  </si>
  <si>
    <t>Hellblauer76</t>
  </si>
  <si>
    <t>Sabbini</t>
  </si>
  <si>
    <t xml:space="preserve">   9 (5,5 %)</t>
  </si>
  <si>
    <t xml:space="preserve">   7 (6,5 %)</t>
  </si>
  <si>
    <t xml:space="preserve">  14 (3,5%)</t>
  </si>
  <si>
    <t xml:space="preserve">  13 (3,5%)</t>
  </si>
  <si>
    <t xml:space="preserve">   3 (8,5 %)</t>
  </si>
  <si>
    <t xml:space="preserve">  1 (10 %)</t>
  </si>
  <si>
    <t xml:space="preserve">    5 (7,5 %)</t>
  </si>
  <si>
    <t xml:space="preserve"> </t>
  </si>
  <si>
    <t>300 Punkte</t>
  </si>
  <si>
    <t>Master_AA_</t>
  </si>
  <si>
    <t>Shinklor</t>
  </si>
  <si>
    <t>Thjako</t>
  </si>
  <si>
    <t>JamesGood</t>
  </si>
  <si>
    <t>340 Punkte</t>
  </si>
  <si>
    <t>Ushi58</t>
  </si>
  <si>
    <t>neumann3000</t>
  </si>
  <si>
    <t>vegeta_44244</t>
  </si>
  <si>
    <t>funkycvrk</t>
  </si>
  <si>
    <t>240 Punkte</t>
  </si>
  <si>
    <t>maxiarny33</t>
  </si>
  <si>
    <t>0 Punkte</t>
  </si>
  <si>
    <t>7.Spieltag (11.12.)</t>
  </si>
  <si>
    <t>cnxvlk</t>
  </si>
  <si>
    <t>Sakefass1259</t>
  </si>
  <si>
    <t>8.Spieltag (12.12.)</t>
  </si>
  <si>
    <t>9.Spieltag (13.12.)</t>
  </si>
  <si>
    <t>330 Punkte</t>
  </si>
  <si>
    <t>ONE7SIX</t>
  </si>
  <si>
    <t>Scanman272</t>
  </si>
  <si>
    <t>CrazyFishAA</t>
  </si>
  <si>
    <t>HerthsBSC1892</t>
  </si>
  <si>
    <t>MiniMausEddi</t>
  </si>
  <si>
    <t>FishMerlin</t>
  </si>
  <si>
    <t>250 Punkte</t>
  </si>
  <si>
    <t>10.Spieltag (14.12.)</t>
  </si>
  <si>
    <t>GPD_Eddy</t>
  </si>
  <si>
    <t>xxx1973</t>
  </si>
  <si>
    <t>11.Spieltag (15.12.)</t>
  </si>
  <si>
    <t>werty00022</t>
  </si>
  <si>
    <t>Subz3ro</t>
  </si>
  <si>
    <t>hi_tower021</t>
  </si>
  <si>
    <t>izidorrrr</t>
  </si>
  <si>
    <t>200 Punkte</t>
  </si>
  <si>
    <t>12.Spieltag (18.12.)</t>
  </si>
  <si>
    <t>loschu</t>
  </si>
  <si>
    <t>OlafHolds</t>
  </si>
  <si>
    <t>Gorczi9393</t>
  </si>
  <si>
    <t>Bpicco1313</t>
  </si>
  <si>
    <t>M4GNUS</t>
  </si>
  <si>
    <t>Ydshshhzu</t>
  </si>
  <si>
    <t xml:space="preserve">250 Punkte </t>
  </si>
  <si>
    <t>13.Spieltag (19.12.)</t>
  </si>
  <si>
    <t>Harry M88</t>
  </si>
  <si>
    <t>the1whoKn0cks</t>
  </si>
  <si>
    <t>Official_GG_gam</t>
  </si>
  <si>
    <t>Mille1987</t>
  </si>
  <si>
    <t>Madpue</t>
  </si>
  <si>
    <t>14.Spieltag (20.12)</t>
  </si>
  <si>
    <t>15.Spieltag (21.12.)</t>
  </si>
  <si>
    <t>230 Punkte</t>
  </si>
  <si>
    <t>160 Punkte</t>
  </si>
  <si>
    <t>DonkyElefant</t>
  </si>
  <si>
    <t>BM32423</t>
  </si>
  <si>
    <t>Tino1799</t>
  </si>
  <si>
    <t>chakichan</t>
  </si>
  <si>
    <t>ricardo777333</t>
  </si>
  <si>
    <t>DoPro_86</t>
  </si>
  <si>
    <t>PokerMonkey</t>
  </si>
  <si>
    <t>Jack.D70</t>
  </si>
  <si>
    <t>Onweplay</t>
  </si>
  <si>
    <t>210 Punkte</t>
  </si>
  <si>
    <t>16.Spieltag (22.12.)</t>
  </si>
  <si>
    <t>fungysek74</t>
  </si>
  <si>
    <t>kingsteph</t>
  </si>
  <si>
    <t>knudi1979</t>
  </si>
  <si>
    <t>kev22s</t>
  </si>
  <si>
    <t>ColdStoneCek</t>
  </si>
  <si>
    <t>Sebi_85</t>
  </si>
  <si>
    <t>140 Punkte</t>
  </si>
  <si>
    <t>17.Spieltag (25.12.)</t>
  </si>
  <si>
    <t>lemon-ade</t>
  </si>
  <si>
    <t>CuxhAndre76</t>
  </si>
  <si>
    <t>Samurauchik</t>
  </si>
  <si>
    <t>einebuloso</t>
  </si>
  <si>
    <t>190 Punkte</t>
  </si>
  <si>
    <t>18.Spieltag (26.12.)</t>
  </si>
  <si>
    <t>FinnWulfert</t>
  </si>
  <si>
    <t>R1sen</t>
  </si>
  <si>
    <t>Samuraichik</t>
  </si>
  <si>
    <t>Kaizen85</t>
  </si>
  <si>
    <t>Kerling</t>
  </si>
  <si>
    <t>hierznOFFICIAL</t>
  </si>
  <si>
    <t>andRdn88</t>
  </si>
  <si>
    <t>170 Punkte</t>
  </si>
  <si>
    <t>19.Spieltag (27.12.)</t>
  </si>
  <si>
    <t>120 Punkte</t>
  </si>
  <si>
    <t>20.Spieltag (28.12.)</t>
  </si>
  <si>
    <t>Gosty-66699</t>
  </si>
  <si>
    <t>xabbox2</t>
  </si>
  <si>
    <t xml:space="preserve">Seat Open </t>
  </si>
  <si>
    <t>C0ckfinch69</t>
  </si>
  <si>
    <t>Blood977</t>
  </si>
  <si>
    <t>Totti1671</t>
  </si>
  <si>
    <t>ThanosNRS77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</si>
</sst>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8"/>
      <color rgb="FF111111"/>
      <name val="Arial"/>
      <family val="2"/>
    </font>
    <font>
      <b/>
      <sz val="18"/>
      <color rgb="FF323232"/>
      <name val="Inherit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color rgb="FF000000"/>
      <name val="Calibri"/>
      <family val="2"/>
      <scheme val="minor"/>
    </font>
    <font>
      <sz val="6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0" xfId="0" applyFont="1" applyFill="1"/>
    <xf numFmtId="0" fontId="0" fillId="2" borderId="0" xfId="0" applyFill="1"/>
    <xf numFmtId="0" fontId="0" fillId="3" borderId="0" xfId="0" applyFill="1"/>
    <xf numFmtId="2" fontId="8" fillId="0" borderId="1" xfId="0" applyNumberFormat="1" applyFont="1" applyBorder="1"/>
    <xf numFmtId="2" fontId="8" fillId="2" borderId="1" xfId="0" applyNumberFormat="1" applyFont="1" applyFill="1" applyBorder="1"/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9" fillId="0" borderId="1" xfId="0" applyNumberFormat="1" applyFont="1" applyBorder="1"/>
    <xf numFmtId="2" fontId="9" fillId="2" borderId="1" xfId="0" applyNumberFormat="1" applyFont="1" applyFill="1" applyBorder="1"/>
    <xf numFmtId="2" fontId="9" fillId="0" borderId="1" xfId="1" applyNumberFormat="1" applyFont="1" applyBorder="1"/>
    <xf numFmtId="2" fontId="8" fillId="2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3" borderId="15" xfId="0" applyFont="1" applyFill="1" applyBorder="1"/>
    <xf numFmtId="0" fontId="7" fillId="3" borderId="16" xfId="0" applyFont="1" applyFill="1" applyBorder="1"/>
    <xf numFmtId="0" fontId="3" fillId="0" borderId="10" xfId="0" applyFont="1" applyBorder="1"/>
    <xf numFmtId="0" fontId="3" fillId="2" borderId="17" xfId="0" applyFont="1" applyFill="1" applyBorder="1"/>
    <xf numFmtId="0" fontId="12" fillId="2" borderId="18" xfId="0" applyFont="1" applyFill="1" applyBorder="1"/>
    <xf numFmtId="0" fontId="12" fillId="2" borderId="18" xfId="0" applyFont="1" applyFill="1" applyBorder="1" applyAlignment="1">
      <alignment horizontal="center"/>
    </xf>
    <xf numFmtId="0" fontId="6" fillId="3" borderId="9" xfId="0" applyFont="1" applyFill="1" applyBorder="1"/>
    <xf numFmtId="0" fontId="7" fillId="3" borderId="8" xfId="0" applyFont="1" applyFill="1" applyBorder="1" applyAlignment="1">
      <alignment horizontal="center"/>
    </xf>
    <xf numFmtId="2" fontId="8" fillId="0" borderId="19" xfId="0" applyNumberFormat="1" applyFont="1" applyBorder="1"/>
    <xf numFmtId="2" fontId="8" fillId="2" borderId="19" xfId="0" applyNumberFormat="1" applyFont="1" applyFill="1" applyBorder="1"/>
    <xf numFmtId="0" fontId="6" fillId="3" borderId="20" xfId="0" applyFont="1" applyFill="1" applyBorder="1"/>
    <xf numFmtId="2" fontId="10" fillId="0" borderId="1" xfId="0" applyNumberFormat="1" applyFont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2" fontId="8" fillId="5" borderId="14" xfId="0" applyNumberFormat="1" applyFont="1" applyFill="1" applyBorder="1"/>
    <xf numFmtId="2" fontId="8" fillId="5" borderId="3" xfId="0" applyNumberFormat="1" applyFont="1" applyFill="1" applyBorder="1"/>
    <xf numFmtId="2" fontId="8" fillId="5" borderId="4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2" fontId="8" fillId="5" borderId="5" xfId="0" applyNumberFormat="1" applyFont="1" applyFill="1" applyBorder="1"/>
    <xf numFmtId="2" fontId="8" fillId="5" borderId="1" xfId="0" applyNumberFormat="1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2" fontId="8" fillId="5" borderId="6" xfId="0" applyNumberFormat="1" applyFont="1" applyFill="1" applyBorder="1"/>
    <xf numFmtId="2" fontId="8" fillId="5" borderId="7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0" fontId="11" fillId="0" borderId="0" xfId="0" applyFont="1"/>
    <xf numFmtId="2" fontId="8" fillId="5" borderId="21" xfId="0" applyNumberFormat="1" applyFont="1" applyFill="1" applyBorder="1" applyAlignment="1">
      <alignment horizontal="center"/>
    </xf>
    <xf numFmtId="2" fontId="8" fillId="5" borderId="19" xfId="0" applyNumberFormat="1" applyFont="1" applyFill="1" applyBorder="1" applyAlignment="1">
      <alignment horizontal="center"/>
    </xf>
    <xf numFmtId="2" fontId="8" fillId="5" borderId="22" xfId="0" applyNumberFormat="1" applyFont="1" applyFill="1" applyBorder="1" applyAlignment="1">
      <alignment horizontal="center"/>
    </xf>
    <xf numFmtId="2" fontId="8" fillId="5" borderId="23" xfId="0" applyNumberFormat="1" applyFont="1" applyFill="1" applyBorder="1" applyAlignment="1">
      <alignment horizontal="center"/>
    </xf>
    <xf numFmtId="2" fontId="8" fillId="5" borderId="24" xfId="0" applyNumberFormat="1" applyFont="1" applyFill="1" applyBorder="1" applyAlignment="1">
      <alignment horizontal="center"/>
    </xf>
    <xf numFmtId="2" fontId="8" fillId="5" borderId="25" xfId="0" applyNumberFormat="1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2" fontId="8" fillId="5" borderId="2" xfId="0" applyNumberFormat="1" applyFont="1" applyFill="1" applyBorder="1" applyAlignment="1">
      <alignment horizontal="center"/>
    </xf>
    <xf numFmtId="0" fontId="6" fillId="3" borderId="10" xfId="0" applyFont="1" applyFill="1" applyBorder="1"/>
    <xf numFmtId="0" fontId="12" fillId="0" borderId="27" xfId="0" applyFont="1" applyBorder="1"/>
    <xf numFmtId="0" fontId="12" fillId="2" borderId="28" xfId="0" applyFont="1" applyFill="1" applyBorder="1" applyAlignment="1">
      <alignment horizontal="center"/>
    </xf>
    <xf numFmtId="2" fontId="8" fillId="0" borderId="2" xfId="0" applyNumberFormat="1" applyFont="1" applyBorder="1"/>
    <xf numFmtId="0" fontId="6" fillId="3" borderId="29" xfId="0" applyFont="1" applyFill="1" applyBorder="1"/>
    <xf numFmtId="0" fontId="12" fillId="2" borderId="30" xfId="0" applyFont="1" applyFill="1" applyBorder="1" applyAlignment="1">
      <alignment horizontal="center"/>
    </xf>
    <xf numFmtId="0" fontId="6" fillId="3" borderId="31" xfId="0" applyFont="1" applyFill="1" applyBorder="1"/>
    <xf numFmtId="2" fontId="13" fillId="5" borderId="4" xfId="0" applyNumberFormat="1" applyFont="1" applyFill="1" applyBorder="1" applyAlignment="1">
      <alignment horizontal="center"/>
    </xf>
    <xf numFmtId="2" fontId="13" fillId="5" borderId="2" xfId="0" applyNumberFormat="1" applyFont="1" applyFill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2" fontId="13" fillId="5" borderId="19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1" fillId="0" borderId="0" xfId="0" applyFont="1"/>
    <xf numFmtId="2" fontId="8" fillId="2" borderId="2" xfId="0" applyNumberFormat="1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7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39744-D1BC-C347-B697-B086DC2AB1DD}">
  <dimension ref="A1"/>
  <sheetViews>
    <sheetView workbookViewId="0"/>
  </sheetViews>
  <sheetFormatPr baseColWidth="10" defaultRowHeight="16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DCAF5-410A-BF4F-8E60-055C05414DD4}">
  <dimension ref="A1:AK192"/>
  <sheetViews>
    <sheetView tabSelected="1" topLeftCell="G13" zoomScale="45" zoomScaleNormal="45" workbookViewId="0">
      <selection activeCell="Q58" sqref="Q58"/>
    </sheetView>
  </sheetViews>
  <sheetFormatPr baseColWidth="10" defaultRowHeight="16"/>
  <cols>
    <col min="1" max="1" width="0" hidden="1" customWidth="1"/>
    <col min="2" max="2" width="10.83203125" hidden="1" customWidth="1"/>
    <col min="3" max="3" width="0.6640625" hidden="1" customWidth="1"/>
    <col min="4" max="5" width="0.1640625" hidden="1" customWidth="1"/>
    <col min="6" max="6" width="4.5" hidden="1" customWidth="1"/>
    <col min="7" max="7" width="17" customWidth="1"/>
    <col min="8" max="8" width="0.1640625" customWidth="1"/>
    <col min="9" max="9" width="24.1640625" bestFit="1" customWidth="1"/>
    <col min="10" max="10" width="28.33203125" bestFit="1" customWidth="1"/>
    <col min="11" max="18" width="27.6640625" bestFit="1" customWidth="1"/>
    <col min="19" max="22" width="29.5" bestFit="1" customWidth="1"/>
    <col min="23" max="23" width="28.6640625" bestFit="1" customWidth="1"/>
    <col min="24" max="25" width="29.5" bestFit="1" customWidth="1"/>
    <col min="26" max="29" width="29.5" customWidth="1"/>
    <col min="30" max="30" width="25" bestFit="1" customWidth="1"/>
  </cols>
  <sheetData>
    <row r="1" spans="1:30" ht="1" hidden="1" customHeight="1" thickBot="1"/>
    <row r="2" spans="1:30" ht="24" hidden="1" customHeight="1" thickBot="1">
      <c r="A2" s="4"/>
      <c r="B2" s="3"/>
      <c r="L2" s="1"/>
    </row>
    <row r="3" spans="1:30" ht="24" hidden="1" customHeight="1" thickBot="1">
      <c r="A3" s="4"/>
      <c r="B3" s="4"/>
      <c r="L3" s="2"/>
    </row>
    <row r="4" spans="1:30" ht="24" hidden="1" customHeight="1" thickBot="1">
      <c r="A4" s="4"/>
      <c r="B4" s="4"/>
      <c r="L4" s="1"/>
    </row>
    <row r="5" spans="1:30" ht="29" hidden="1" customHeight="1" thickBot="1">
      <c r="A5" s="4"/>
      <c r="B5" s="4"/>
      <c r="G5" s="63"/>
      <c r="H5" s="63"/>
      <c r="I5" s="63"/>
      <c r="J5" s="63"/>
      <c r="K5" s="63"/>
      <c r="L5" s="63"/>
      <c r="M5" s="63"/>
      <c r="N5" s="63"/>
      <c r="O5" s="63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</row>
    <row r="6" spans="1:30" ht="1" hidden="1" customHeight="1" thickBot="1">
      <c r="A6" s="4"/>
      <c r="B6" s="4"/>
      <c r="G6" s="5"/>
      <c r="L6" s="2"/>
    </row>
    <row r="7" spans="1:30" ht="24" hidden="1" customHeight="1" thickBot="1">
      <c r="A7" s="4"/>
      <c r="B7" s="4"/>
      <c r="L7" s="2"/>
    </row>
    <row r="8" spans="1:30" ht="24" hidden="1" customHeight="1" thickBot="1">
      <c r="A8" s="4"/>
      <c r="B8" s="4"/>
      <c r="L8" s="2"/>
    </row>
    <row r="9" spans="1:30" ht="24" hidden="1" customHeight="1" thickBot="1">
      <c r="A9" s="4"/>
      <c r="B9" s="4"/>
      <c r="L9" s="2"/>
    </row>
    <row r="10" spans="1:30" ht="24" hidden="1" customHeight="1" thickBot="1">
      <c r="A10" s="4"/>
      <c r="B10" s="4"/>
      <c r="L10" s="2"/>
    </row>
    <row r="11" spans="1:30" ht="17" hidden="1" customHeight="1" thickBot="1">
      <c r="A11" s="4"/>
      <c r="B11" s="4"/>
    </row>
    <row r="12" spans="1:30" ht="17" hidden="1" customHeight="1" thickBot="1">
      <c r="A12" s="4"/>
      <c r="B12" s="4"/>
    </row>
    <row r="13" spans="1:30" ht="25" thickBot="1">
      <c r="A13" s="4"/>
      <c r="B13" s="4"/>
      <c r="G13" s="20"/>
      <c r="H13" s="21"/>
      <c r="I13" s="22"/>
      <c r="J13" s="23" t="s">
        <v>20</v>
      </c>
      <c r="K13" s="23" t="s">
        <v>42</v>
      </c>
      <c r="L13" s="23" t="s">
        <v>58</v>
      </c>
      <c r="M13" s="23" t="s">
        <v>71</v>
      </c>
      <c r="N13" s="23" t="s">
        <v>85</v>
      </c>
      <c r="O13" s="23" t="s">
        <v>90</v>
      </c>
      <c r="P13" s="49" t="s">
        <v>95</v>
      </c>
      <c r="Q13" s="49" t="s">
        <v>97</v>
      </c>
      <c r="R13" s="53" t="s">
        <v>103</v>
      </c>
      <c r="S13" s="56" t="s">
        <v>110</v>
      </c>
      <c r="T13" s="56" t="s">
        <v>110</v>
      </c>
      <c r="U13" s="56" t="s">
        <v>119</v>
      </c>
      <c r="V13" s="56" t="s">
        <v>127</v>
      </c>
      <c r="W13" s="56" t="s">
        <v>136</v>
      </c>
      <c r="X13" s="56" t="s">
        <v>137</v>
      </c>
      <c r="Y13" s="62" t="s">
        <v>147</v>
      </c>
      <c r="Z13" s="62" t="s">
        <v>155</v>
      </c>
      <c r="AA13" s="62" t="s">
        <v>161</v>
      </c>
      <c r="AB13" s="62" t="s">
        <v>170</v>
      </c>
      <c r="AC13" s="62" t="s">
        <v>172</v>
      </c>
      <c r="AD13" s="52" t="s">
        <v>6</v>
      </c>
    </row>
    <row r="14" spans="1:30" ht="24" customHeight="1" thickBot="1">
      <c r="A14" s="4"/>
      <c r="B14" s="4"/>
      <c r="G14" s="19" t="s">
        <v>5</v>
      </c>
      <c r="H14" s="18"/>
      <c r="I14" s="25" t="s">
        <v>0</v>
      </c>
      <c r="J14" s="24" t="s">
        <v>10</v>
      </c>
      <c r="K14" s="24" t="s">
        <v>21</v>
      </c>
      <c r="L14" s="24" t="s">
        <v>70</v>
      </c>
      <c r="M14" s="24" t="s">
        <v>22</v>
      </c>
      <c r="N14" s="24" t="s">
        <v>23</v>
      </c>
      <c r="O14" s="28" t="s">
        <v>24</v>
      </c>
      <c r="P14" s="51" t="s">
        <v>98</v>
      </c>
      <c r="Q14" s="51" t="s">
        <v>101</v>
      </c>
      <c r="R14" s="51" t="s">
        <v>102</v>
      </c>
      <c r="S14" s="51" t="s">
        <v>111</v>
      </c>
      <c r="T14" s="51" t="s">
        <v>114</v>
      </c>
      <c r="U14" s="55" t="s">
        <v>120</v>
      </c>
      <c r="V14" s="57" t="s">
        <v>128</v>
      </c>
      <c r="W14" s="57" t="s">
        <v>134</v>
      </c>
      <c r="X14" s="57" t="s">
        <v>135</v>
      </c>
      <c r="Y14" s="57" t="s">
        <v>148</v>
      </c>
      <c r="Z14" s="57" t="s">
        <v>156</v>
      </c>
      <c r="AA14" s="57" t="s">
        <v>162</v>
      </c>
      <c r="AB14" s="57" t="s">
        <v>171</v>
      </c>
      <c r="AC14" s="57" t="s">
        <v>173</v>
      </c>
      <c r="AD14" s="48" t="s">
        <v>7</v>
      </c>
    </row>
    <row r="15" spans="1:30" ht="24">
      <c r="A15" s="4"/>
      <c r="B15" s="4"/>
      <c r="G15" s="30" t="s">
        <v>82</v>
      </c>
      <c r="H15" s="31"/>
      <c r="I15" s="32" t="s">
        <v>37</v>
      </c>
      <c r="J15" s="33">
        <f>530*0.075</f>
        <v>39.75</v>
      </c>
      <c r="K15" s="33">
        <f>480*0.09</f>
        <v>43.199999999999996</v>
      </c>
      <c r="L15" s="33">
        <v>0</v>
      </c>
      <c r="M15" s="33">
        <f>420*0.08</f>
        <v>33.6</v>
      </c>
      <c r="N15" s="58">
        <f>300*0.01</f>
        <v>3</v>
      </c>
      <c r="O15" s="42">
        <f>340*0.1</f>
        <v>34</v>
      </c>
      <c r="P15" s="59">
        <f>240*0.02</f>
        <v>4.8</v>
      </c>
      <c r="Q15" s="50">
        <v>0</v>
      </c>
      <c r="R15" s="50">
        <f>330*0.05</f>
        <v>16.5</v>
      </c>
      <c r="S15" s="50">
        <f>250*0.1</f>
        <v>25</v>
      </c>
      <c r="T15" s="50">
        <f>250*0.085</f>
        <v>21.25</v>
      </c>
      <c r="U15" s="58">
        <f>200*0.05</f>
        <v>10</v>
      </c>
      <c r="V15" s="58">
        <f>250*0.04</f>
        <v>10</v>
      </c>
      <c r="W15" s="58">
        <f>230*0.04</f>
        <v>9.2000000000000011</v>
      </c>
      <c r="X15" s="33">
        <f>160*0.09</f>
        <v>14.399999999999999</v>
      </c>
      <c r="Y15" s="33">
        <f>210*0.1</f>
        <v>21</v>
      </c>
      <c r="Z15" s="58">
        <f>140*0.08</f>
        <v>11.200000000000001</v>
      </c>
      <c r="AA15" s="33">
        <f>190*0.065</f>
        <v>12.35</v>
      </c>
      <c r="AB15" s="33">
        <v>0</v>
      </c>
      <c r="AC15" s="33">
        <f>120*0.1</f>
        <v>12</v>
      </c>
      <c r="AD15" s="45">
        <f>SUM(J15:AC15)-N15-P15-W15-U15-V15-V15-Z15</f>
        <v>263.05</v>
      </c>
    </row>
    <row r="16" spans="1:30" ht="24">
      <c r="A16" s="4"/>
      <c r="B16" s="4"/>
      <c r="G16" s="34" t="s">
        <v>29</v>
      </c>
      <c r="H16" s="31"/>
      <c r="I16" s="35" t="s">
        <v>19</v>
      </c>
      <c r="J16" s="36">
        <f>530*0.07</f>
        <v>37.1</v>
      </c>
      <c r="K16" s="36">
        <v>0</v>
      </c>
      <c r="L16" s="36">
        <f>380*0.07</f>
        <v>26.6</v>
      </c>
      <c r="M16" s="36">
        <f>420*0.085</f>
        <v>35.700000000000003</v>
      </c>
      <c r="N16" s="36">
        <f>300*0.09</f>
        <v>27</v>
      </c>
      <c r="O16" s="43">
        <f>340*0.09</f>
        <v>30.599999999999998</v>
      </c>
      <c r="P16" s="60">
        <f>240*0.03</f>
        <v>7.1999999999999993</v>
      </c>
      <c r="Q16" s="36">
        <v>0</v>
      </c>
      <c r="R16" s="36">
        <v>0</v>
      </c>
      <c r="S16" s="60">
        <f>250*0.04</f>
        <v>10</v>
      </c>
      <c r="T16" s="36">
        <f>250*0.055</f>
        <v>13.75</v>
      </c>
      <c r="U16" s="36">
        <f>200*0.07</f>
        <v>14.000000000000002</v>
      </c>
      <c r="V16" s="36">
        <f>250*0.1</f>
        <v>25</v>
      </c>
      <c r="W16" s="36">
        <f>230*0.065</f>
        <v>14.950000000000001</v>
      </c>
      <c r="X16" s="36">
        <f>160*0.07</f>
        <v>11.200000000000001</v>
      </c>
      <c r="Y16" s="36">
        <f>210*0.08</f>
        <v>16.8</v>
      </c>
      <c r="Z16" s="36">
        <v>0</v>
      </c>
      <c r="AA16" s="36">
        <v>0</v>
      </c>
      <c r="AB16" s="36">
        <v>0</v>
      </c>
      <c r="AC16" s="36">
        <v>0</v>
      </c>
      <c r="AD16" s="46">
        <f>SUM(J16:AC16)-P16-S16</f>
        <v>252.7</v>
      </c>
    </row>
    <row r="17" spans="1:37" ht="24">
      <c r="A17" s="4"/>
      <c r="B17" s="4"/>
      <c r="G17" s="34" t="s">
        <v>81</v>
      </c>
      <c r="H17" s="31"/>
      <c r="I17" s="35" t="s">
        <v>56</v>
      </c>
      <c r="J17" s="36">
        <v>0</v>
      </c>
      <c r="K17" s="36">
        <f>480*0.085</f>
        <v>40.800000000000004</v>
      </c>
      <c r="L17" s="36">
        <f>380*0.04</f>
        <v>15.200000000000001</v>
      </c>
      <c r="M17" s="36">
        <f>420*0.1</f>
        <v>42</v>
      </c>
      <c r="N17" s="36">
        <f>300*0.065</f>
        <v>19.5</v>
      </c>
      <c r="O17" s="43">
        <v>0</v>
      </c>
      <c r="P17" s="60">
        <f>240*0.03</f>
        <v>7.1999999999999993</v>
      </c>
      <c r="Q17" s="36">
        <v>0</v>
      </c>
      <c r="R17" s="36">
        <f>330*0.055</f>
        <v>18.149999999999999</v>
      </c>
      <c r="S17" s="36">
        <f>250*0.07</f>
        <v>17.5</v>
      </c>
      <c r="T17" s="36">
        <f>250*0.09</f>
        <v>22.5</v>
      </c>
      <c r="U17" s="36">
        <f>200*0.1</f>
        <v>20</v>
      </c>
      <c r="V17" s="36">
        <f>250*0.075</f>
        <v>18.75</v>
      </c>
      <c r="W17" s="60">
        <f>230*0.05</f>
        <v>11.5</v>
      </c>
      <c r="X17" s="36">
        <v>0</v>
      </c>
      <c r="Y17" s="36">
        <f>210*0.07</f>
        <v>14.700000000000001</v>
      </c>
      <c r="Z17" s="60">
        <f>140*0.075</f>
        <v>10.5</v>
      </c>
      <c r="AA17" s="60">
        <f>190*0.055</f>
        <v>10.45</v>
      </c>
      <c r="AB17" s="36">
        <f>170*0.085</f>
        <v>14.450000000000001</v>
      </c>
      <c r="AC17" s="36">
        <v>0</v>
      </c>
      <c r="AD17" s="46">
        <f>SUM(J17:AC17)-P17-Z17-AA17-W17</f>
        <v>243.54999999999995</v>
      </c>
    </row>
    <row r="18" spans="1:37" ht="24">
      <c r="A18" s="4"/>
      <c r="B18" s="4"/>
      <c r="G18" s="34" t="s">
        <v>28</v>
      </c>
      <c r="H18" s="31"/>
      <c r="I18" s="35" t="s">
        <v>57</v>
      </c>
      <c r="J18" s="36">
        <v>0</v>
      </c>
      <c r="K18" s="36">
        <f>480*0.1</f>
        <v>48</v>
      </c>
      <c r="L18" s="36">
        <f>380*0.035</f>
        <v>13.3</v>
      </c>
      <c r="M18" s="36">
        <f>420*0.06</f>
        <v>25.2</v>
      </c>
      <c r="N18" s="36">
        <f>300*0.06</f>
        <v>18</v>
      </c>
      <c r="O18" s="43">
        <v>0</v>
      </c>
      <c r="P18" s="36">
        <v>0</v>
      </c>
      <c r="Q18" s="36">
        <v>0</v>
      </c>
      <c r="R18" s="36">
        <f>330*0.08</f>
        <v>26.400000000000002</v>
      </c>
      <c r="S18" s="36">
        <f>250*0.075</f>
        <v>18.75</v>
      </c>
      <c r="T18" s="36">
        <f>250*0.07</f>
        <v>17.5</v>
      </c>
      <c r="U18" s="36">
        <f>200*0.065</f>
        <v>13</v>
      </c>
      <c r="V18" s="36">
        <f>250*0.085</f>
        <v>21.25</v>
      </c>
      <c r="W18" s="36">
        <f>230*0.08</f>
        <v>18.400000000000002</v>
      </c>
      <c r="X18" s="36">
        <f>160*0.085</f>
        <v>13.600000000000001</v>
      </c>
      <c r="Y18" s="60">
        <f>210*0.04</f>
        <v>8.4</v>
      </c>
      <c r="Z18" s="60">
        <f>140*0.06</f>
        <v>8.4</v>
      </c>
      <c r="AA18" s="60">
        <v>0</v>
      </c>
      <c r="AB18" s="36">
        <v>0</v>
      </c>
      <c r="AC18" s="36">
        <v>0</v>
      </c>
      <c r="AD18" s="46">
        <f>SUM(J18:AC18)-Y18-Z18</f>
        <v>233.4</v>
      </c>
    </row>
    <row r="19" spans="1:37" ht="24">
      <c r="A19" s="4"/>
      <c r="B19" s="4"/>
      <c r="G19" s="34" t="s">
        <v>83</v>
      </c>
      <c r="H19" s="31"/>
      <c r="I19" s="35" t="s">
        <v>41</v>
      </c>
      <c r="J19" s="36">
        <f>530*0.1</f>
        <v>53</v>
      </c>
      <c r="K19" s="36">
        <f>480*0.035</f>
        <v>16.8</v>
      </c>
      <c r="L19" s="36">
        <v>0</v>
      </c>
      <c r="M19" s="36">
        <f>420*0.04</f>
        <v>16.8</v>
      </c>
      <c r="N19" s="36">
        <f>300*0.04</f>
        <v>12</v>
      </c>
      <c r="O19" s="43">
        <f>340*0.04</f>
        <v>13.6</v>
      </c>
      <c r="P19" s="36">
        <f>240*0.1</f>
        <v>24</v>
      </c>
      <c r="Q19" s="36">
        <v>0</v>
      </c>
      <c r="R19" s="36">
        <v>0</v>
      </c>
      <c r="S19" s="36">
        <f>250*0.06</f>
        <v>15</v>
      </c>
      <c r="T19" s="36">
        <f>250*0.06</f>
        <v>15</v>
      </c>
      <c r="U19" s="36">
        <f>200*0.085</f>
        <v>17</v>
      </c>
      <c r="V19" s="60">
        <f>250*0.035</f>
        <v>8.75</v>
      </c>
      <c r="W19" s="36">
        <f>230*0.075</f>
        <v>17.25</v>
      </c>
      <c r="X19" s="60">
        <f>160*0.065</f>
        <v>10.4</v>
      </c>
      <c r="Y19" s="60">
        <f>210*0.04</f>
        <v>8.4</v>
      </c>
      <c r="Z19" s="60">
        <f>140*0.085</f>
        <v>11.9</v>
      </c>
      <c r="AA19" s="36">
        <f>190*0.085</f>
        <v>16.150000000000002</v>
      </c>
      <c r="AB19" s="36">
        <v>0</v>
      </c>
      <c r="AC19" s="36">
        <v>0</v>
      </c>
      <c r="AD19" s="46">
        <f>SUM(J19:AC19)-V19-Y19-X19-Z19</f>
        <v>216.6</v>
      </c>
    </row>
    <row r="20" spans="1:37" ht="24">
      <c r="A20" s="4"/>
      <c r="B20" s="4"/>
      <c r="G20" s="34" t="s">
        <v>27</v>
      </c>
      <c r="H20" s="31"/>
      <c r="I20" s="35" t="s">
        <v>3</v>
      </c>
      <c r="J20" s="36">
        <f>530*0.035</f>
        <v>18.55</v>
      </c>
      <c r="K20" s="36">
        <v>0</v>
      </c>
      <c r="L20" s="36">
        <f>380*0.075</f>
        <v>28.5</v>
      </c>
      <c r="M20" s="36">
        <f>420*0.065</f>
        <v>27.3</v>
      </c>
      <c r="N20" s="36">
        <f>300*0.04</f>
        <v>12</v>
      </c>
      <c r="O20" s="43">
        <v>0</v>
      </c>
      <c r="P20" s="36">
        <f>240*0.065</f>
        <v>15.600000000000001</v>
      </c>
      <c r="Q20" s="36">
        <v>0</v>
      </c>
      <c r="R20" s="60">
        <f>330*0.01</f>
        <v>3.3000000000000003</v>
      </c>
      <c r="S20" s="36">
        <f>250*0.08</f>
        <v>20</v>
      </c>
      <c r="T20" s="36">
        <f>250*0.075</f>
        <v>18.75</v>
      </c>
      <c r="U20" s="36">
        <f>200*0.075</f>
        <v>15</v>
      </c>
      <c r="V20" s="36">
        <f>250*0.05</f>
        <v>12.5</v>
      </c>
      <c r="W20" s="36">
        <f>230*0.09</f>
        <v>20.7</v>
      </c>
      <c r="X20" s="60">
        <f>160*0.04</f>
        <v>6.4</v>
      </c>
      <c r="Y20" s="60">
        <f>210*0.05</f>
        <v>10.5</v>
      </c>
      <c r="Z20" s="36">
        <v>0</v>
      </c>
      <c r="AA20" s="36">
        <v>0</v>
      </c>
      <c r="AB20" s="36">
        <f>170*0.08</f>
        <v>13.6</v>
      </c>
      <c r="AC20" s="60">
        <f>120*0.08</f>
        <v>9.6</v>
      </c>
      <c r="AD20" s="46">
        <f>SUM(J20:AC20)-R20-X20-Y20-AC20</f>
        <v>202.49999999999997</v>
      </c>
    </row>
    <row r="21" spans="1:37" ht="24">
      <c r="A21" s="4"/>
      <c r="B21" s="4"/>
      <c r="G21" s="34" t="s">
        <v>78</v>
      </c>
      <c r="H21" s="31"/>
      <c r="I21" s="35" t="s">
        <v>38</v>
      </c>
      <c r="J21" s="36">
        <f>530*0.08</f>
        <v>42.4</v>
      </c>
      <c r="K21" s="36">
        <f>480*0.04</f>
        <v>19.2</v>
      </c>
      <c r="L21" s="36">
        <v>0</v>
      </c>
      <c r="M21" s="36">
        <v>0</v>
      </c>
      <c r="N21" s="36">
        <f>300*0.035</f>
        <v>10.500000000000002</v>
      </c>
      <c r="O21" s="61">
        <f>340*0.01</f>
        <v>3.4</v>
      </c>
      <c r="P21" s="60">
        <f>240*0.01</f>
        <v>2.4</v>
      </c>
      <c r="Q21" s="36">
        <v>0</v>
      </c>
      <c r="R21" s="36">
        <f>330*0.03</f>
        <v>9.9</v>
      </c>
      <c r="S21" s="36">
        <f>250*0.055</f>
        <v>13.75</v>
      </c>
      <c r="T21" s="60">
        <f>250*0.03</f>
        <v>7.5</v>
      </c>
      <c r="U21" s="36">
        <f>200*0.06</f>
        <v>12</v>
      </c>
      <c r="V21" s="36">
        <f>250*0.055</f>
        <v>13.75</v>
      </c>
      <c r="W21" s="36">
        <f>230*0.055</f>
        <v>12.65</v>
      </c>
      <c r="X21" s="60">
        <f>160*0.055</f>
        <v>8.8000000000000007</v>
      </c>
      <c r="Y21" s="36">
        <v>0</v>
      </c>
      <c r="Z21" s="36">
        <f>140*0.1</f>
        <v>14</v>
      </c>
      <c r="AA21" s="36">
        <f>190*0.08</f>
        <v>15.200000000000001</v>
      </c>
      <c r="AB21" s="36">
        <f>170*0.1</f>
        <v>17</v>
      </c>
      <c r="AC21" s="60">
        <f>120*0.065</f>
        <v>7.8000000000000007</v>
      </c>
      <c r="AD21" s="46">
        <f>SUM(J21:AC21)-O21-P21-T21-X21-AC21</f>
        <v>180.35</v>
      </c>
    </row>
    <row r="22" spans="1:37" ht="24">
      <c r="A22" s="4"/>
      <c r="B22" s="4"/>
      <c r="G22" s="34" t="s">
        <v>18</v>
      </c>
      <c r="H22" s="31"/>
      <c r="I22" s="35" t="s">
        <v>55</v>
      </c>
      <c r="J22" s="36">
        <v>0</v>
      </c>
      <c r="K22" s="36">
        <f>480*0.075</f>
        <v>36</v>
      </c>
      <c r="L22" s="36">
        <f>380*0.03</f>
        <v>11.4</v>
      </c>
      <c r="M22" s="36">
        <v>0</v>
      </c>
      <c r="N22" s="36">
        <f>300*0.03</f>
        <v>9</v>
      </c>
      <c r="O22" s="43">
        <f>340*0.035</f>
        <v>11.9</v>
      </c>
      <c r="P22" s="36">
        <f>240*0.09</f>
        <v>21.599999999999998</v>
      </c>
      <c r="Q22" s="36">
        <v>0</v>
      </c>
      <c r="R22" s="60">
        <f>330*0.01</f>
        <v>3.3000000000000003</v>
      </c>
      <c r="S22" s="36">
        <f>250*0.035</f>
        <v>8.75</v>
      </c>
      <c r="T22" s="36">
        <v>0</v>
      </c>
      <c r="U22" s="36">
        <v>0</v>
      </c>
      <c r="V22" s="36">
        <f>250*0.065</f>
        <v>16.25</v>
      </c>
      <c r="W22" s="36">
        <v>0</v>
      </c>
      <c r="X22" s="36">
        <f>160*0.075</f>
        <v>12</v>
      </c>
      <c r="Y22" s="36">
        <f>210*0.06</f>
        <v>12.6</v>
      </c>
      <c r="Z22" s="36">
        <f>140*0.09</f>
        <v>12.6</v>
      </c>
      <c r="AA22" s="36">
        <v>0</v>
      </c>
      <c r="AB22" s="36">
        <f>170*0.065</f>
        <v>11.05</v>
      </c>
      <c r="AC22" s="36">
        <f>120*0.075</f>
        <v>9</v>
      </c>
      <c r="AD22" s="46">
        <f>SUM(J22:AC22)-R22</f>
        <v>172.14999999999998</v>
      </c>
    </row>
    <row r="23" spans="1:37" ht="24">
      <c r="A23" s="4"/>
      <c r="B23" s="4"/>
      <c r="G23" s="34" t="s">
        <v>77</v>
      </c>
      <c r="H23" s="31"/>
      <c r="I23" s="35" t="s">
        <v>48</v>
      </c>
      <c r="J23" s="40">
        <v>0</v>
      </c>
      <c r="K23" s="40">
        <f>480*0.035</f>
        <v>16.8</v>
      </c>
      <c r="L23" s="60">
        <f>380*0.01</f>
        <v>3.8000000000000003</v>
      </c>
      <c r="M23" s="36">
        <f>420*0.02</f>
        <v>8.4</v>
      </c>
      <c r="N23" s="36">
        <f>300*0.1</f>
        <v>30</v>
      </c>
      <c r="O23" s="43">
        <v>0</v>
      </c>
      <c r="P23" s="36">
        <f>240*0.08</f>
        <v>19.2</v>
      </c>
      <c r="Q23" s="36">
        <v>0</v>
      </c>
      <c r="R23" s="36">
        <f>330*0.09</f>
        <v>29.7</v>
      </c>
      <c r="S23" s="36">
        <f>250*0.03</f>
        <v>7.5</v>
      </c>
      <c r="T23" s="36">
        <f>250*0.035</f>
        <v>8.75</v>
      </c>
      <c r="U23" s="36">
        <f>200*0.09</f>
        <v>18</v>
      </c>
      <c r="V23" s="36">
        <f>250*0.03</f>
        <v>7.5</v>
      </c>
      <c r="W23" s="36">
        <v>0</v>
      </c>
      <c r="X23" s="36">
        <f>160*0.08</f>
        <v>12.8</v>
      </c>
      <c r="Y23" s="36">
        <v>0</v>
      </c>
      <c r="Z23" s="36">
        <v>0</v>
      </c>
      <c r="AA23" s="36">
        <f>190*0.04</f>
        <v>7.6000000000000005</v>
      </c>
      <c r="AB23" s="36">
        <v>0</v>
      </c>
      <c r="AC23" s="36">
        <v>0</v>
      </c>
      <c r="AD23" s="46">
        <f>SUM(J23:AC23)-L23</f>
        <v>166.25</v>
      </c>
    </row>
    <row r="24" spans="1:37" ht="24">
      <c r="A24" s="4"/>
      <c r="B24" s="4"/>
      <c r="G24" s="34" t="s">
        <v>17</v>
      </c>
      <c r="H24" s="31"/>
      <c r="I24" s="35" t="s">
        <v>168</v>
      </c>
      <c r="J24" s="36">
        <f>530*0.065</f>
        <v>34.450000000000003</v>
      </c>
      <c r="K24" s="36">
        <v>0</v>
      </c>
      <c r="L24" s="36">
        <v>0</v>
      </c>
      <c r="M24" s="36">
        <v>0</v>
      </c>
      <c r="N24" s="36">
        <f>300*0.035</f>
        <v>10.500000000000002</v>
      </c>
      <c r="O24" s="43">
        <v>0</v>
      </c>
      <c r="P24" s="36">
        <v>0</v>
      </c>
      <c r="Q24" s="36">
        <v>0</v>
      </c>
      <c r="R24" s="36">
        <v>0</v>
      </c>
      <c r="S24" s="36">
        <f>250*0.05</f>
        <v>12.5</v>
      </c>
      <c r="T24" s="36">
        <f>250*0.1</f>
        <v>25</v>
      </c>
      <c r="U24" s="36">
        <v>0</v>
      </c>
      <c r="V24" s="36">
        <f>250*0.07</f>
        <v>17.5</v>
      </c>
      <c r="W24" s="36">
        <f>230*0.02</f>
        <v>4.6000000000000005</v>
      </c>
      <c r="X24" s="36">
        <f>160*0.04</f>
        <v>6.4</v>
      </c>
      <c r="Y24" s="36">
        <v>0</v>
      </c>
      <c r="Z24" s="36">
        <v>0</v>
      </c>
      <c r="AA24" s="36">
        <f>190*0.09</f>
        <v>17.099999999999998</v>
      </c>
      <c r="AB24" s="36">
        <f>170*0.06</f>
        <v>10.199999999999999</v>
      </c>
      <c r="AC24" s="36">
        <f>120*0.07</f>
        <v>8.4</v>
      </c>
      <c r="AD24" s="46">
        <f>SUM(J24:AC24)</f>
        <v>146.65</v>
      </c>
    </row>
    <row r="25" spans="1:37" ht="24">
      <c r="A25" s="4"/>
      <c r="B25" s="4"/>
      <c r="G25" s="34" t="s">
        <v>26</v>
      </c>
      <c r="H25" s="31"/>
      <c r="I25" s="35" t="s">
        <v>93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43">
        <f>340*0.035</f>
        <v>11.9</v>
      </c>
      <c r="P25" s="36">
        <f>240*0.06</f>
        <v>14.399999999999999</v>
      </c>
      <c r="Q25" s="36">
        <v>0</v>
      </c>
      <c r="R25" s="36">
        <f>330*0.075</f>
        <v>24.75</v>
      </c>
      <c r="S25" s="36">
        <f>250*0.03</f>
        <v>7.5</v>
      </c>
      <c r="T25" s="36">
        <f>250*0.04</f>
        <v>10</v>
      </c>
      <c r="U25" s="36">
        <f>200*0.08</f>
        <v>16</v>
      </c>
      <c r="V25" s="36">
        <v>0</v>
      </c>
      <c r="W25" s="36">
        <v>0</v>
      </c>
      <c r="X25" s="36">
        <v>0</v>
      </c>
      <c r="Y25" s="36">
        <f>210*0.085</f>
        <v>17.850000000000001</v>
      </c>
      <c r="Z25" s="36">
        <f>140*0.065</f>
        <v>9.1</v>
      </c>
      <c r="AA25" s="36">
        <f>190*0.06</f>
        <v>11.4</v>
      </c>
      <c r="AB25" s="36">
        <f>170*0.075</f>
        <v>12.75</v>
      </c>
      <c r="AC25" s="36">
        <f>120*0.085</f>
        <v>10.200000000000001</v>
      </c>
      <c r="AD25" s="46">
        <f>SUM(J25:AC25)</f>
        <v>145.85</v>
      </c>
    </row>
    <row r="26" spans="1:37" ht="24">
      <c r="A26" s="4"/>
      <c r="B26" s="4"/>
      <c r="G26" s="34" t="s">
        <v>25</v>
      </c>
      <c r="H26" s="31"/>
      <c r="I26" s="35" t="s">
        <v>69</v>
      </c>
      <c r="J26" s="36">
        <v>0</v>
      </c>
      <c r="K26" s="36">
        <v>0</v>
      </c>
      <c r="L26" s="36">
        <f>380*0.09</f>
        <v>34.199999999999996</v>
      </c>
      <c r="M26" s="36">
        <v>0</v>
      </c>
      <c r="N26" s="36">
        <v>0</v>
      </c>
      <c r="O26" s="43">
        <f>340*0.065</f>
        <v>22.1</v>
      </c>
      <c r="P26" s="36">
        <f>240*0.085</f>
        <v>20.400000000000002</v>
      </c>
      <c r="Q26" s="36">
        <v>0</v>
      </c>
      <c r="R26" s="36">
        <v>0</v>
      </c>
      <c r="S26" s="60">
        <f>250*0.01</f>
        <v>2.5</v>
      </c>
      <c r="T26" s="36">
        <f>250*0.035</f>
        <v>8.75</v>
      </c>
      <c r="U26" s="60">
        <f>200*0.01</f>
        <v>2</v>
      </c>
      <c r="V26" s="36">
        <f>250*0.09</f>
        <v>22.5</v>
      </c>
      <c r="W26" s="36">
        <f>230*0.01</f>
        <v>2.3000000000000003</v>
      </c>
      <c r="X26" s="36">
        <v>0</v>
      </c>
      <c r="Y26" s="36">
        <f>210*0.01</f>
        <v>2.1</v>
      </c>
      <c r="Z26" s="36">
        <f>140*0.04</f>
        <v>5.6000000000000005</v>
      </c>
      <c r="AA26" s="36">
        <f>190*0.04</f>
        <v>7.6000000000000005</v>
      </c>
      <c r="AB26" s="36">
        <f>170*0.09</f>
        <v>15.299999999999999</v>
      </c>
      <c r="AC26" s="36">
        <f>120*0.04</f>
        <v>4.8</v>
      </c>
      <c r="AD26" s="46">
        <f>SUM(J26:AC26)-S26-U26</f>
        <v>145.65</v>
      </c>
    </row>
    <row r="27" spans="1:37" ht="24">
      <c r="A27" s="4"/>
      <c r="B27" s="4"/>
      <c r="G27" s="34" t="s">
        <v>80</v>
      </c>
      <c r="H27" s="31"/>
      <c r="I27" s="35" t="s">
        <v>54</v>
      </c>
      <c r="J27" s="36">
        <v>0</v>
      </c>
      <c r="K27" s="36">
        <f>480*0.07</f>
        <v>33.6</v>
      </c>
      <c r="L27" s="36">
        <v>0</v>
      </c>
      <c r="M27" s="36">
        <v>0</v>
      </c>
      <c r="N27" s="36">
        <f>300*0.07</f>
        <v>21.000000000000004</v>
      </c>
      <c r="O27" s="43">
        <f>340*0.085</f>
        <v>28.900000000000002</v>
      </c>
      <c r="P27" s="36">
        <v>0</v>
      </c>
      <c r="Q27" s="36">
        <v>0</v>
      </c>
      <c r="R27" s="36">
        <f>330*0.07</f>
        <v>23.1</v>
      </c>
      <c r="S27" s="36">
        <f>250*0.01</f>
        <v>2.5</v>
      </c>
      <c r="T27" s="36">
        <f>250*0.08</f>
        <v>20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f>190*0.01</f>
        <v>1.9000000000000001</v>
      </c>
      <c r="AB27" s="36">
        <v>0</v>
      </c>
      <c r="AC27" s="36">
        <v>0</v>
      </c>
      <c r="AD27" s="46">
        <f>SUM(J27:AC27)</f>
        <v>131.00000000000003</v>
      </c>
    </row>
    <row r="28" spans="1:37" ht="24">
      <c r="G28" s="34" t="s">
        <v>79</v>
      </c>
      <c r="H28" s="31"/>
      <c r="I28" s="35" t="s">
        <v>51</v>
      </c>
      <c r="J28" s="36">
        <v>0</v>
      </c>
      <c r="K28" s="36">
        <f>480*0.055</f>
        <v>26.4</v>
      </c>
      <c r="L28" s="36">
        <f>380*0.035</f>
        <v>13.3</v>
      </c>
      <c r="M28" s="36">
        <f>420*0.035</f>
        <v>14.700000000000001</v>
      </c>
      <c r="N28" s="36">
        <f>300*0.055</f>
        <v>16.5</v>
      </c>
      <c r="O28" s="43">
        <f>340*0.075</f>
        <v>25.5</v>
      </c>
      <c r="P28" s="36">
        <f>240*0.055</f>
        <v>13.2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f>230*0.035</f>
        <v>8.0500000000000007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46">
        <f>SUM(J28:AC28)</f>
        <v>117.65</v>
      </c>
    </row>
    <row r="29" spans="1:37" ht="24">
      <c r="G29" s="34" t="s">
        <v>16</v>
      </c>
      <c r="H29" s="31"/>
      <c r="I29" s="35" t="s">
        <v>2</v>
      </c>
      <c r="J29" s="36">
        <f>530*0.055</f>
        <v>29.15</v>
      </c>
      <c r="K29" s="36">
        <v>0</v>
      </c>
      <c r="L29" s="36">
        <f>380*0.05</f>
        <v>19</v>
      </c>
      <c r="M29" s="36">
        <v>0</v>
      </c>
      <c r="N29" s="36">
        <v>0</v>
      </c>
      <c r="O29" s="43">
        <v>0</v>
      </c>
      <c r="P29" s="36">
        <v>0</v>
      </c>
      <c r="Q29" s="36">
        <v>0</v>
      </c>
      <c r="R29" s="36">
        <f>330*0.085</f>
        <v>28.05</v>
      </c>
      <c r="S29" s="36">
        <f>250*0.09</f>
        <v>22.5</v>
      </c>
      <c r="T29" s="36">
        <f>250*0.04</f>
        <v>10</v>
      </c>
      <c r="U29" s="36">
        <v>0</v>
      </c>
      <c r="V29" s="36">
        <f>250*0.03</f>
        <v>7.5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46">
        <f>SUM(J29:AC29)</f>
        <v>116.2</v>
      </c>
    </row>
    <row r="30" spans="1:37" ht="24">
      <c r="G30" s="34" t="s">
        <v>15</v>
      </c>
      <c r="H30" s="31"/>
      <c r="I30" s="35" t="s">
        <v>4</v>
      </c>
      <c r="J30" s="36">
        <f>530*0.01</f>
        <v>5.3</v>
      </c>
      <c r="K30" s="36">
        <f>480*0.08</f>
        <v>38.4</v>
      </c>
      <c r="L30" s="36">
        <v>0</v>
      </c>
      <c r="M30" s="36">
        <f>420*0.035</f>
        <v>14.700000000000001</v>
      </c>
      <c r="N30" s="36">
        <v>0</v>
      </c>
      <c r="O30" s="43">
        <v>0</v>
      </c>
      <c r="P30" s="36">
        <f>240*0.075</f>
        <v>18</v>
      </c>
      <c r="Q30" s="36">
        <v>0</v>
      </c>
      <c r="R30" s="36">
        <f>330*0.065</f>
        <v>21.45</v>
      </c>
      <c r="S30" s="36">
        <f>250*0.065</f>
        <v>16.25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46">
        <f>SUM(J30:AC30)</f>
        <v>114.10000000000001</v>
      </c>
    </row>
    <row r="31" spans="1:37" ht="24">
      <c r="G31" s="34" t="s">
        <v>14</v>
      </c>
      <c r="H31" s="31"/>
      <c r="I31" s="35" t="s">
        <v>63</v>
      </c>
      <c r="J31" s="36">
        <v>0</v>
      </c>
      <c r="K31" s="36">
        <v>0</v>
      </c>
      <c r="L31" s="36">
        <f>380*0.04</f>
        <v>15.200000000000001</v>
      </c>
      <c r="M31" s="36">
        <f>420*0.09</f>
        <v>37.799999999999997</v>
      </c>
      <c r="N31" s="36">
        <v>0</v>
      </c>
      <c r="O31" s="43">
        <f>340*0.02</f>
        <v>6.8</v>
      </c>
      <c r="P31" s="36">
        <f>240*0.04</f>
        <v>9.6</v>
      </c>
      <c r="Q31" s="36">
        <v>0</v>
      </c>
      <c r="R31" s="36">
        <f>330*0.035</f>
        <v>11.55</v>
      </c>
      <c r="S31" s="36">
        <v>0</v>
      </c>
      <c r="T31" s="36">
        <f>250*0.05</f>
        <v>12.5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46">
        <f>SUM(J31:AC31)</f>
        <v>93.449999999999989</v>
      </c>
      <c r="AK31" s="17"/>
    </row>
    <row r="32" spans="1:37" ht="24">
      <c r="G32" s="34" t="s">
        <v>13</v>
      </c>
      <c r="H32" s="31"/>
      <c r="I32" s="35" t="s">
        <v>39</v>
      </c>
      <c r="J32" s="36">
        <f>530*0.085</f>
        <v>45.050000000000004</v>
      </c>
      <c r="K32" s="36">
        <f>480*0.02</f>
        <v>9.6</v>
      </c>
      <c r="L32" s="36">
        <v>0</v>
      </c>
      <c r="M32" s="36">
        <f>420*0.07</f>
        <v>29.400000000000002</v>
      </c>
      <c r="N32" s="36">
        <f>300*0.02</f>
        <v>6</v>
      </c>
      <c r="O32" s="43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46">
        <f>SUM(J32:AC32)</f>
        <v>90.050000000000011</v>
      </c>
      <c r="AK32" s="17"/>
    </row>
    <row r="33" spans="7:37" ht="24">
      <c r="G33" s="34" t="s">
        <v>12</v>
      </c>
      <c r="H33" s="31"/>
      <c r="I33" s="35" t="s">
        <v>49</v>
      </c>
      <c r="J33" s="36">
        <v>0</v>
      </c>
      <c r="K33" s="36">
        <f>480*0.04</f>
        <v>19.2</v>
      </c>
      <c r="L33" s="36">
        <f>380*0.1</f>
        <v>38</v>
      </c>
      <c r="M33" s="36">
        <f>420*0.01</f>
        <v>4.2</v>
      </c>
      <c r="N33" s="36">
        <f>300*0.085</f>
        <v>25.500000000000004</v>
      </c>
      <c r="O33" s="43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46">
        <f>SUM(J33:AC33)</f>
        <v>86.9</v>
      </c>
      <c r="AK33" s="17"/>
    </row>
    <row r="34" spans="7:37" ht="25" thickBot="1">
      <c r="G34" s="37" t="s">
        <v>11</v>
      </c>
      <c r="H34" s="31"/>
      <c r="I34" s="38" t="s">
        <v>43</v>
      </c>
      <c r="J34" s="39">
        <v>0</v>
      </c>
      <c r="K34" s="39">
        <f>480*0.01</f>
        <v>4.8</v>
      </c>
      <c r="L34" s="39">
        <v>0</v>
      </c>
      <c r="M34" s="39">
        <f>420*0.05</f>
        <v>21</v>
      </c>
      <c r="N34" s="39">
        <v>0</v>
      </c>
      <c r="O34" s="44">
        <f>340*0.08</f>
        <v>27.2</v>
      </c>
      <c r="P34" s="39">
        <v>0</v>
      </c>
      <c r="Q34" s="39">
        <v>0</v>
      </c>
      <c r="R34" s="39">
        <f>330*0.03</f>
        <v>9.9</v>
      </c>
      <c r="S34" s="39">
        <f>250*0.02</f>
        <v>5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47">
        <f>SUM(J34:AC34)</f>
        <v>67.900000000000006</v>
      </c>
      <c r="AK34" s="17"/>
    </row>
    <row r="35" spans="7:37" ht="24">
      <c r="G35" s="8">
        <v>21</v>
      </c>
      <c r="H35" s="7"/>
      <c r="I35" s="54" t="s">
        <v>92</v>
      </c>
      <c r="J35" s="16">
        <v>0</v>
      </c>
      <c r="K35" s="16">
        <v>0</v>
      </c>
      <c r="L35" s="16">
        <v>0</v>
      </c>
      <c r="M35" s="16">
        <v>0</v>
      </c>
      <c r="N35" s="64">
        <v>0</v>
      </c>
      <c r="O35" s="16">
        <f>340*0.03</f>
        <v>10.199999999999999</v>
      </c>
      <c r="P35" s="16">
        <v>0</v>
      </c>
      <c r="Q35" s="16">
        <v>0</v>
      </c>
      <c r="R35" s="16">
        <f>330*0.04</f>
        <v>13.200000000000001</v>
      </c>
      <c r="S35" s="16">
        <v>0</v>
      </c>
      <c r="T35" s="16">
        <v>0</v>
      </c>
      <c r="U35" s="16">
        <v>0</v>
      </c>
      <c r="V35" s="16">
        <f>250*0.035</f>
        <v>8.75</v>
      </c>
      <c r="W35" s="16">
        <f>230*0.04</f>
        <v>9.2000000000000011</v>
      </c>
      <c r="X35" s="16">
        <f>160*0.1</f>
        <v>16</v>
      </c>
      <c r="Y35" s="16">
        <v>0</v>
      </c>
      <c r="Z35" s="16">
        <v>0</v>
      </c>
      <c r="AA35" s="16">
        <v>0</v>
      </c>
      <c r="AB35" s="16">
        <f>170*0.05</f>
        <v>8.5</v>
      </c>
      <c r="AC35" s="16">
        <v>0</v>
      </c>
      <c r="AD35" s="16">
        <f>SUM(J35:AC35)</f>
        <v>65.849999999999994</v>
      </c>
      <c r="AK35" s="17"/>
    </row>
    <row r="36" spans="7:37" ht="24">
      <c r="G36" s="9">
        <v>22</v>
      </c>
      <c r="H36" s="6"/>
      <c r="I36" s="6" t="s">
        <v>65</v>
      </c>
      <c r="J36" s="14">
        <v>0</v>
      </c>
      <c r="K36" s="14">
        <v>0</v>
      </c>
      <c r="L36" s="14">
        <f>380*0.065</f>
        <v>24.7</v>
      </c>
      <c r="M36" s="14">
        <f>420*0.03</f>
        <v>12.6</v>
      </c>
      <c r="N36" s="29">
        <f>300*0.02</f>
        <v>6</v>
      </c>
      <c r="O36" s="14">
        <f>340*0.03</f>
        <v>10.199999999999999</v>
      </c>
      <c r="P36" s="14">
        <f>240*0.035</f>
        <v>8.4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f>SUM(J36:AC36)</f>
        <v>61.9</v>
      </c>
      <c r="AK36" s="17"/>
    </row>
    <row r="37" spans="7:37" ht="24">
      <c r="G37" s="9">
        <v>23</v>
      </c>
      <c r="H37" s="6"/>
      <c r="I37" s="6" t="s">
        <v>74</v>
      </c>
      <c r="J37" s="14">
        <v>0</v>
      </c>
      <c r="K37" s="14">
        <v>0</v>
      </c>
      <c r="L37" s="14">
        <v>0</v>
      </c>
      <c r="M37" s="14">
        <f>420*0.04</f>
        <v>16.8</v>
      </c>
      <c r="N37" s="14">
        <v>0</v>
      </c>
      <c r="O37" s="14">
        <f>340*0.04</f>
        <v>13.6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f>200*0.035</f>
        <v>7.0000000000000009</v>
      </c>
      <c r="V37" s="14">
        <v>0</v>
      </c>
      <c r="W37" s="14">
        <f>230*0.085</f>
        <v>19.55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f>SUM(J37:AC37)</f>
        <v>56.95</v>
      </c>
      <c r="AK37" s="17"/>
    </row>
    <row r="38" spans="7:37" ht="24">
      <c r="G38" s="9">
        <v>24</v>
      </c>
      <c r="H38" s="6"/>
      <c r="I38" s="6" t="s">
        <v>62</v>
      </c>
      <c r="J38" s="14">
        <v>0</v>
      </c>
      <c r="K38" s="14">
        <v>0</v>
      </c>
      <c r="L38" s="14">
        <f>380*0.03</f>
        <v>11.4</v>
      </c>
      <c r="M38" s="14">
        <f>420*0.03</f>
        <v>12.6</v>
      </c>
      <c r="N38" s="14">
        <v>0</v>
      </c>
      <c r="O38" s="14">
        <f>340*0.06</f>
        <v>20.399999999999999</v>
      </c>
      <c r="P38" s="14">
        <f>240*0.035</f>
        <v>8.4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f>SUM(J38:AC38)</f>
        <v>52.8</v>
      </c>
      <c r="AJ38" t="s">
        <v>84</v>
      </c>
      <c r="AK38" s="17"/>
    </row>
    <row r="39" spans="7:37" ht="24">
      <c r="G39" s="9">
        <v>25</v>
      </c>
      <c r="H39" s="7"/>
      <c r="I39" s="6" t="s">
        <v>112</v>
      </c>
      <c r="J39" s="14">
        <v>0</v>
      </c>
      <c r="K39" s="14">
        <v>0</v>
      </c>
      <c r="L39" s="14">
        <v>0</v>
      </c>
      <c r="M39" s="14">
        <v>0</v>
      </c>
      <c r="N39" s="13">
        <v>0</v>
      </c>
      <c r="O39" s="14">
        <v>0</v>
      </c>
      <c r="P39" s="13">
        <v>0</v>
      </c>
      <c r="Q39" s="14">
        <v>0</v>
      </c>
      <c r="R39" s="14">
        <v>0</v>
      </c>
      <c r="S39" s="14">
        <f>250*0.02</f>
        <v>5</v>
      </c>
      <c r="T39" s="14">
        <f>250*0.065</f>
        <v>16.25</v>
      </c>
      <c r="U39" s="14">
        <f>200*0.04</f>
        <v>8</v>
      </c>
      <c r="V39" s="14">
        <f>250*0.06</f>
        <v>15</v>
      </c>
      <c r="W39" s="14">
        <f>230*0.035</f>
        <v>8.0500000000000007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f>SUM(J39:AC39)</f>
        <v>52.3</v>
      </c>
      <c r="AK39" s="17"/>
    </row>
    <row r="40" spans="7:37" ht="24">
      <c r="G40" s="9">
        <v>26</v>
      </c>
      <c r="H40" s="7"/>
      <c r="I40" s="6" t="s">
        <v>107</v>
      </c>
      <c r="J40" s="14">
        <v>0</v>
      </c>
      <c r="K40" s="14">
        <v>0</v>
      </c>
      <c r="L40" s="14">
        <v>0</v>
      </c>
      <c r="M40" s="14">
        <v>0</v>
      </c>
      <c r="N40" s="13">
        <v>0</v>
      </c>
      <c r="O40" s="14">
        <v>0</v>
      </c>
      <c r="P40" s="13">
        <v>0</v>
      </c>
      <c r="Q40" s="14">
        <v>0</v>
      </c>
      <c r="R40" s="14">
        <f>330*0.035</f>
        <v>11.55</v>
      </c>
      <c r="S40" s="14">
        <f>250*0.04</f>
        <v>10</v>
      </c>
      <c r="T40" s="14">
        <v>0</v>
      </c>
      <c r="U40" s="14">
        <f>200*0.04</f>
        <v>8</v>
      </c>
      <c r="V40" s="14">
        <v>0</v>
      </c>
      <c r="W40" s="14">
        <v>0</v>
      </c>
      <c r="X40" s="14">
        <f>160*0.06</f>
        <v>9.6</v>
      </c>
      <c r="Y40" s="14">
        <v>0</v>
      </c>
      <c r="Z40" s="14">
        <v>0</v>
      </c>
      <c r="AA40" s="14">
        <v>0</v>
      </c>
      <c r="AB40" s="14">
        <v>0</v>
      </c>
      <c r="AC40" s="14">
        <f>120*0.09</f>
        <v>10.799999999999999</v>
      </c>
      <c r="AD40" s="14">
        <f>SUM(J40:AC40)</f>
        <v>49.949999999999996</v>
      </c>
      <c r="AK40" s="17"/>
    </row>
    <row r="41" spans="7:37" ht="24">
      <c r="G41" s="9">
        <v>27</v>
      </c>
      <c r="H41" s="6"/>
      <c r="I41" s="6" t="s">
        <v>86</v>
      </c>
      <c r="J41" s="14">
        <v>0</v>
      </c>
      <c r="K41" s="14">
        <v>0</v>
      </c>
      <c r="L41" s="14">
        <v>0</v>
      </c>
      <c r="M41" s="14">
        <v>0</v>
      </c>
      <c r="N41" s="14">
        <f>300*0.03</f>
        <v>9</v>
      </c>
      <c r="O41" s="14">
        <f>340*0.05</f>
        <v>17</v>
      </c>
      <c r="P41" s="14">
        <v>0</v>
      </c>
      <c r="Q41" s="14">
        <v>0</v>
      </c>
      <c r="R41" s="14">
        <v>0</v>
      </c>
      <c r="S41" s="14">
        <f>250*0.035</f>
        <v>8.75</v>
      </c>
      <c r="T41" s="14">
        <f>250*0.03</f>
        <v>7.5</v>
      </c>
      <c r="U41" s="14">
        <v>0</v>
      </c>
      <c r="V41" s="14">
        <v>0</v>
      </c>
      <c r="W41" s="14">
        <v>0</v>
      </c>
      <c r="X41" s="14">
        <f>160*0.035</f>
        <v>5.6000000000000005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f>SUM(J41:AC41)</f>
        <v>47.85</v>
      </c>
      <c r="AK41" s="17"/>
    </row>
    <row r="42" spans="7:37" ht="24">
      <c r="G42" s="9">
        <v>28</v>
      </c>
      <c r="H42" s="26"/>
      <c r="I42" s="6" t="s">
        <v>40</v>
      </c>
      <c r="J42" s="14">
        <f>530*0.09</f>
        <v>47.699999999999996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f>SUM(J42:AC42)</f>
        <v>47.699999999999996</v>
      </c>
      <c r="AK42" s="17"/>
    </row>
    <row r="43" spans="7:37" ht="24">
      <c r="G43" s="9">
        <v>29</v>
      </c>
      <c r="H43" s="27"/>
      <c r="I43" s="6" t="s">
        <v>34</v>
      </c>
      <c r="J43" s="14">
        <f>530*0.04</f>
        <v>21.2</v>
      </c>
      <c r="K43" s="14">
        <v>0</v>
      </c>
      <c r="L43" s="14">
        <v>0</v>
      </c>
      <c r="M43" s="14">
        <v>0</v>
      </c>
      <c r="N43" s="14">
        <v>0</v>
      </c>
      <c r="O43" s="14">
        <f>340*0.07</f>
        <v>23.8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f>SUM(J43:AC43)</f>
        <v>45</v>
      </c>
      <c r="AK43" s="17"/>
    </row>
    <row r="44" spans="7:37" ht="24">
      <c r="G44" s="9">
        <v>30</v>
      </c>
      <c r="H44" s="7"/>
      <c r="I44" s="6" t="s">
        <v>36</v>
      </c>
      <c r="J44" s="14">
        <f>530*0.06</f>
        <v>31.799999999999997</v>
      </c>
      <c r="K44" s="14">
        <v>0</v>
      </c>
      <c r="L44" s="14">
        <v>0</v>
      </c>
      <c r="M44" s="14">
        <v>0</v>
      </c>
      <c r="N44" s="14">
        <v>0</v>
      </c>
      <c r="O44" s="14">
        <f>340*0.02</f>
        <v>6.8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f>SUM(J44:AC44)</f>
        <v>38.599999999999994</v>
      </c>
      <c r="AK44" s="17"/>
    </row>
    <row r="45" spans="7:37" ht="24">
      <c r="G45" s="9">
        <v>31</v>
      </c>
      <c r="H45" s="7"/>
      <c r="I45" s="6" t="s">
        <v>104</v>
      </c>
      <c r="J45" s="14">
        <v>0</v>
      </c>
      <c r="K45" s="14">
        <v>0</v>
      </c>
      <c r="L45" s="14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4">
        <f>330*0.1</f>
        <v>33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f>SUM(J45:AC45)</f>
        <v>33</v>
      </c>
      <c r="AK45" s="17"/>
    </row>
    <row r="46" spans="7:37" ht="24">
      <c r="G46" s="9">
        <v>32</v>
      </c>
      <c r="H46" s="6"/>
      <c r="I46" s="6" t="s">
        <v>73</v>
      </c>
      <c r="J46" s="14">
        <v>0</v>
      </c>
      <c r="K46" s="14">
        <v>0</v>
      </c>
      <c r="L46" s="14">
        <v>0</v>
      </c>
      <c r="M46" s="14">
        <f>420*0.02</f>
        <v>8.4</v>
      </c>
      <c r="N46" s="14">
        <v>0</v>
      </c>
      <c r="O46" s="14">
        <v>0</v>
      </c>
      <c r="P46" s="14">
        <f>240*0.01</f>
        <v>2.4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f>210*0.035</f>
        <v>7.3500000000000005</v>
      </c>
      <c r="Z46" s="14">
        <v>0</v>
      </c>
      <c r="AA46" s="14">
        <f>190*0.075</f>
        <v>14.25</v>
      </c>
      <c r="AB46" s="14">
        <v>0</v>
      </c>
      <c r="AC46" s="14">
        <v>0</v>
      </c>
      <c r="AD46" s="14">
        <f>SUM(J46:AC46)</f>
        <v>32.400000000000006</v>
      </c>
      <c r="AK46" s="17"/>
    </row>
    <row r="47" spans="7:37" ht="24">
      <c r="G47" s="9">
        <v>33</v>
      </c>
      <c r="H47" s="6"/>
      <c r="I47" s="6" t="s">
        <v>68</v>
      </c>
      <c r="J47" s="14">
        <v>0</v>
      </c>
      <c r="K47" s="14">
        <v>0</v>
      </c>
      <c r="L47" s="14">
        <f>380*0.085</f>
        <v>32.300000000000004</v>
      </c>
      <c r="M47" s="14">
        <v>0</v>
      </c>
      <c r="N47" s="29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f>SUM(J47:AC47)</f>
        <v>32.300000000000004</v>
      </c>
      <c r="AK47" s="17"/>
    </row>
    <row r="48" spans="7:37" ht="24">
      <c r="G48" s="9">
        <v>34</v>
      </c>
      <c r="H48" s="6"/>
      <c r="I48" s="6" t="s">
        <v>76</v>
      </c>
      <c r="J48" s="14">
        <v>0</v>
      </c>
      <c r="K48" s="14">
        <v>0</v>
      </c>
      <c r="L48" s="14">
        <v>0</v>
      </c>
      <c r="M48" s="14">
        <f>420*0.075</f>
        <v>31.5</v>
      </c>
      <c r="N48" s="29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f>SUM(J48:AC48)</f>
        <v>31.5</v>
      </c>
      <c r="AK48" s="17"/>
    </row>
    <row r="49" spans="7:37" ht="24">
      <c r="G49" s="9">
        <v>35</v>
      </c>
      <c r="H49" s="6"/>
      <c r="I49" s="6" t="s">
        <v>53</v>
      </c>
      <c r="J49" s="14">
        <v>0</v>
      </c>
      <c r="K49" s="14">
        <f>480*0.065</f>
        <v>31.200000000000003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f>SUM(J49:AC49)</f>
        <v>31.200000000000003</v>
      </c>
      <c r="AK49" s="17"/>
    </row>
    <row r="50" spans="7:37" ht="24">
      <c r="G50" s="9">
        <v>36</v>
      </c>
      <c r="H50" s="7"/>
      <c r="I50" s="6" t="s">
        <v>67</v>
      </c>
      <c r="J50" s="14">
        <v>0</v>
      </c>
      <c r="K50" s="14">
        <v>0</v>
      </c>
      <c r="L50" s="14">
        <f>380*0.08</f>
        <v>30.400000000000002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f>SUM(J50:AC50)</f>
        <v>30.400000000000002</v>
      </c>
      <c r="AK50" s="17"/>
    </row>
    <row r="51" spans="7:37" ht="24">
      <c r="G51" s="9">
        <v>37</v>
      </c>
      <c r="H51" s="6"/>
      <c r="I51" s="6" t="s">
        <v>52</v>
      </c>
      <c r="J51" s="14">
        <v>0</v>
      </c>
      <c r="K51" s="14">
        <f>480*0.06</f>
        <v>28.799999999999997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f>SUM(J51:AC51)</f>
        <v>28.799999999999997</v>
      </c>
      <c r="AK51" s="17"/>
    </row>
    <row r="52" spans="7:37" ht="24">
      <c r="G52" s="9">
        <v>38</v>
      </c>
      <c r="H52" s="6"/>
      <c r="I52" s="6" t="s">
        <v>115</v>
      </c>
      <c r="J52" s="14">
        <v>0</v>
      </c>
      <c r="K52" s="14">
        <v>0</v>
      </c>
      <c r="L52" s="14">
        <v>0</v>
      </c>
      <c r="M52" s="14">
        <v>0</v>
      </c>
      <c r="N52" s="13">
        <v>0</v>
      </c>
      <c r="O52" s="14">
        <v>0</v>
      </c>
      <c r="P52" s="13">
        <v>0</v>
      </c>
      <c r="Q52" s="14">
        <v>0</v>
      </c>
      <c r="R52" s="14">
        <v>0</v>
      </c>
      <c r="S52" s="14">
        <v>0</v>
      </c>
      <c r="T52" s="14">
        <f>250*0.01</f>
        <v>2.5</v>
      </c>
      <c r="U52" s="14">
        <v>0</v>
      </c>
      <c r="V52" s="14">
        <v>0</v>
      </c>
      <c r="W52" s="14">
        <v>0</v>
      </c>
      <c r="X52" s="14">
        <f>160*0.03</f>
        <v>4.8</v>
      </c>
      <c r="Y52" s="14">
        <f>210*0.02</f>
        <v>4.2</v>
      </c>
      <c r="Z52" s="14">
        <f>140*0.035</f>
        <v>4.9000000000000004</v>
      </c>
      <c r="AA52" s="14">
        <f>190*0.03</f>
        <v>5.7</v>
      </c>
      <c r="AB52" s="14">
        <f>170*0.03</f>
        <v>5.0999999999999996</v>
      </c>
      <c r="AC52" s="14">
        <v>0</v>
      </c>
      <c r="AD52" s="14">
        <f>SUM(J52:AC52)</f>
        <v>27.199999999999996</v>
      </c>
      <c r="AK52" s="17"/>
    </row>
    <row r="53" spans="7:37" ht="24">
      <c r="G53" s="9">
        <v>39</v>
      </c>
      <c r="H53" s="6"/>
      <c r="I53" s="6" t="s">
        <v>9</v>
      </c>
      <c r="J53" s="14">
        <f>530*0.05</f>
        <v>26.5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f>SUM(J53:AC53)</f>
        <v>26.5</v>
      </c>
      <c r="AK53" s="17"/>
    </row>
    <row r="54" spans="7:37" ht="24">
      <c r="G54" s="9">
        <v>40</v>
      </c>
      <c r="H54" s="6"/>
      <c r="I54" s="6" t="s">
        <v>158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3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f>140*0.05</f>
        <v>7</v>
      </c>
      <c r="AA54" s="14">
        <f>190*0.035</f>
        <v>6.65</v>
      </c>
      <c r="AB54" s="14">
        <f>170*0.07</f>
        <v>11.9</v>
      </c>
      <c r="AC54" s="14">
        <v>0</v>
      </c>
      <c r="AD54" s="14">
        <f>SUM(J54:AC54)</f>
        <v>25.55</v>
      </c>
      <c r="AK54" s="17"/>
    </row>
    <row r="55" spans="7:37" ht="24">
      <c r="G55" s="9">
        <v>41</v>
      </c>
      <c r="H55" s="6"/>
      <c r="I55" s="6" t="s">
        <v>46</v>
      </c>
      <c r="J55" s="14">
        <v>0</v>
      </c>
      <c r="K55" s="14">
        <f>480*0.03</f>
        <v>14.399999999999999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f>200*0.055</f>
        <v>11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f>SUM(J55:AC55)</f>
        <v>25.4</v>
      </c>
      <c r="AK55" s="17"/>
    </row>
    <row r="56" spans="7:37" ht="24">
      <c r="G56" s="9">
        <v>42</v>
      </c>
      <c r="H56" s="6"/>
      <c r="I56" s="6" t="s">
        <v>50</v>
      </c>
      <c r="J56" s="14">
        <v>0</v>
      </c>
      <c r="K56" s="14">
        <f>480*0.05</f>
        <v>24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f>SUM(J56:AC56)</f>
        <v>24</v>
      </c>
    </row>
    <row r="57" spans="7:37" ht="24">
      <c r="G57" s="9">
        <v>43</v>
      </c>
      <c r="H57" s="6"/>
      <c r="I57" s="6" t="s">
        <v>89</v>
      </c>
      <c r="J57" s="14">
        <v>0</v>
      </c>
      <c r="K57" s="14">
        <v>0</v>
      </c>
      <c r="L57" s="14">
        <v>0</v>
      </c>
      <c r="M57" s="14">
        <v>0</v>
      </c>
      <c r="N57" s="14">
        <f>300*0.08</f>
        <v>24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f>SUM(J57:AC57)</f>
        <v>24</v>
      </c>
    </row>
    <row r="58" spans="7:37" ht="24">
      <c r="G58" s="9">
        <v>44</v>
      </c>
      <c r="H58" s="6"/>
      <c r="I58" s="7" t="s">
        <v>75</v>
      </c>
      <c r="J58" s="14">
        <v>0</v>
      </c>
      <c r="K58" s="14">
        <v>0</v>
      </c>
      <c r="L58" s="14">
        <v>0</v>
      </c>
      <c r="M58" s="13">
        <f>420*0.055</f>
        <v>23.1</v>
      </c>
      <c r="N58" s="13">
        <v>0</v>
      </c>
      <c r="O58" s="13">
        <v>0</v>
      </c>
      <c r="P58" s="13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f>SUM(J58:AC58)</f>
        <v>23.1</v>
      </c>
    </row>
    <row r="59" spans="7:37" ht="24">
      <c r="G59" s="9">
        <v>45</v>
      </c>
      <c r="H59" s="6"/>
      <c r="I59" s="6" t="s">
        <v>143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3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f>230*0.1</f>
        <v>23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f>SUM(J59:AC59)</f>
        <v>23</v>
      </c>
    </row>
    <row r="60" spans="7:37" ht="24">
      <c r="G60" s="9">
        <v>46</v>
      </c>
      <c r="H60" s="6"/>
      <c r="I60" s="6" t="s">
        <v>66</v>
      </c>
      <c r="J60" s="14">
        <v>0</v>
      </c>
      <c r="K60" s="14">
        <v>0</v>
      </c>
      <c r="L60" s="14">
        <f>380*0.06</f>
        <v>22.8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f>SUM(J60:AC60)</f>
        <v>22.8</v>
      </c>
    </row>
    <row r="61" spans="7:37" ht="24">
      <c r="G61" s="9">
        <v>47</v>
      </c>
      <c r="H61" s="6"/>
      <c r="I61" s="7" t="s">
        <v>88</v>
      </c>
      <c r="J61" s="14">
        <v>0</v>
      </c>
      <c r="K61" s="14">
        <v>0</v>
      </c>
      <c r="L61" s="14">
        <v>0</v>
      </c>
      <c r="M61" s="13">
        <v>0</v>
      </c>
      <c r="N61" s="14">
        <f>300*0.075</f>
        <v>22.5</v>
      </c>
      <c r="O61" s="13">
        <v>0</v>
      </c>
      <c r="P61" s="13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f>SUM(J61:AC61)</f>
        <v>22.5</v>
      </c>
    </row>
    <row r="62" spans="7:37" ht="24">
      <c r="G62" s="9">
        <v>48</v>
      </c>
      <c r="H62" s="6"/>
      <c r="I62" s="6" t="s">
        <v>113</v>
      </c>
      <c r="J62" s="14">
        <v>0</v>
      </c>
      <c r="K62" s="14">
        <v>0</v>
      </c>
      <c r="L62" s="14">
        <v>0</v>
      </c>
      <c r="M62" s="14">
        <v>0</v>
      </c>
      <c r="N62" s="13">
        <v>0</v>
      </c>
      <c r="O62" s="14">
        <v>0</v>
      </c>
      <c r="P62" s="13">
        <v>0</v>
      </c>
      <c r="Q62" s="14">
        <v>0</v>
      </c>
      <c r="R62" s="14">
        <v>0</v>
      </c>
      <c r="S62" s="14">
        <f>250*0.085</f>
        <v>21.25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f>SUM(J62:AC62)</f>
        <v>21.25</v>
      </c>
    </row>
    <row r="63" spans="7:37" ht="24">
      <c r="G63" s="9">
        <v>49</v>
      </c>
      <c r="H63" s="6"/>
      <c r="I63" s="6" t="s">
        <v>35</v>
      </c>
      <c r="J63" s="14">
        <f>530*0.04</f>
        <v>21.2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f>SUM(J63:AC63)</f>
        <v>21.2</v>
      </c>
    </row>
    <row r="64" spans="7:37" ht="24">
      <c r="G64" s="9">
        <v>50</v>
      </c>
      <c r="H64" s="6"/>
      <c r="I64" s="6" t="s">
        <v>64</v>
      </c>
      <c r="J64" s="14">
        <v>0</v>
      </c>
      <c r="K64" s="14">
        <v>0</v>
      </c>
      <c r="L64" s="14">
        <f>380*0.055</f>
        <v>20.9</v>
      </c>
      <c r="M64" s="14">
        <v>0</v>
      </c>
      <c r="N64" s="29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f>SUM(J64:AC64)</f>
        <v>20.9</v>
      </c>
    </row>
    <row r="65" spans="7:30" ht="24">
      <c r="G65" s="9">
        <v>51</v>
      </c>
      <c r="H65" s="6"/>
      <c r="I65" s="6" t="s">
        <v>8</v>
      </c>
      <c r="J65" s="14">
        <f>530*0.02</f>
        <v>10.6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>240*0.04</f>
        <v>9.6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f>SUM(J65:AC65)</f>
        <v>20.2</v>
      </c>
    </row>
    <row r="66" spans="7:30" ht="24">
      <c r="G66" s="9">
        <v>52</v>
      </c>
      <c r="H66" s="6"/>
      <c r="I66" s="10" t="s">
        <v>133</v>
      </c>
      <c r="J66" s="14">
        <v>0</v>
      </c>
      <c r="K66" s="14">
        <v>0</v>
      </c>
      <c r="L66" s="14">
        <v>0</v>
      </c>
      <c r="M66" s="14">
        <v>0</v>
      </c>
      <c r="N66" s="13">
        <v>0</v>
      </c>
      <c r="O66" s="14">
        <v>0</v>
      </c>
      <c r="P66" s="13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5">
        <f>250*0.08</f>
        <v>20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f>SUM(J66:AC66)</f>
        <v>20</v>
      </c>
    </row>
    <row r="67" spans="7:30" ht="24">
      <c r="G67" s="9">
        <v>53</v>
      </c>
      <c r="H67" s="6"/>
      <c r="I67" s="7" t="s">
        <v>109</v>
      </c>
      <c r="J67" s="14">
        <v>0</v>
      </c>
      <c r="K67" s="14">
        <v>0</v>
      </c>
      <c r="L67" s="14">
        <v>0</v>
      </c>
      <c r="M67" s="14">
        <v>0</v>
      </c>
      <c r="N67" s="13">
        <v>0</v>
      </c>
      <c r="O67" s="14">
        <v>0</v>
      </c>
      <c r="P67" s="13">
        <v>0</v>
      </c>
      <c r="Q67" s="14">
        <v>0</v>
      </c>
      <c r="R67" s="14">
        <f>330*0.06</f>
        <v>19.8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f>SUM(J67:AC67)</f>
        <v>19.8</v>
      </c>
    </row>
    <row r="68" spans="7:30" ht="24">
      <c r="G68" s="9">
        <v>54</v>
      </c>
      <c r="H68" s="6"/>
      <c r="I68" s="6" t="s">
        <v>169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3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f>190*0.1</f>
        <v>19</v>
      </c>
      <c r="AB68" s="14">
        <v>0</v>
      </c>
      <c r="AC68" s="14">
        <v>0</v>
      </c>
      <c r="AD68" s="14">
        <f>SUM(J68:AC68)</f>
        <v>19</v>
      </c>
    </row>
    <row r="69" spans="7:30" ht="24">
      <c r="G69" s="9">
        <v>55</v>
      </c>
      <c r="H69" s="6"/>
      <c r="I69" s="6" t="s">
        <v>154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3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f>210*0.09</f>
        <v>18.899999999999999</v>
      </c>
      <c r="Z69" s="14">
        <v>0</v>
      </c>
      <c r="AA69" s="14">
        <v>0</v>
      </c>
      <c r="AB69" s="14">
        <v>0</v>
      </c>
      <c r="AC69" s="14">
        <v>0</v>
      </c>
      <c r="AD69" s="14">
        <f>SUM(J69:AC69)</f>
        <v>18.899999999999999</v>
      </c>
    </row>
    <row r="70" spans="7:30" ht="24">
      <c r="G70" s="9">
        <v>56</v>
      </c>
      <c r="H70" s="6"/>
      <c r="I70" s="6" t="s">
        <v>125</v>
      </c>
      <c r="J70" s="14">
        <v>0</v>
      </c>
      <c r="K70" s="14">
        <v>0</v>
      </c>
      <c r="L70" s="14">
        <v>0</v>
      </c>
      <c r="M70" s="14">
        <v>0</v>
      </c>
      <c r="N70" s="13">
        <v>0</v>
      </c>
      <c r="O70" s="14">
        <v>0</v>
      </c>
      <c r="P70" s="13">
        <v>0</v>
      </c>
      <c r="Q70" s="14">
        <v>0</v>
      </c>
      <c r="R70" s="14">
        <v>0</v>
      </c>
      <c r="S70" s="14">
        <v>0</v>
      </c>
      <c r="T70" s="14">
        <v>0</v>
      </c>
      <c r="U70" s="14">
        <f>200*0.03</f>
        <v>6</v>
      </c>
      <c r="V70" s="14">
        <v>0</v>
      </c>
      <c r="W70" s="14">
        <v>0</v>
      </c>
      <c r="X70" s="14">
        <v>0</v>
      </c>
      <c r="Y70" s="14">
        <f>210*0.02</f>
        <v>4.2</v>
      </c>
      <c r="Z70" s="14">
        <f>140*0.035</f>
        <v>4.9000000000000004</v>
      </c>
      <c r="AA70" s="14">
        <f>190*0.02</f>
        <v>3.8000000000000003</v>
      </c>
      <c r="AB70" s="14">
        <v>0</v>
      </c>
      <c r="AC70" s="14">
        <v>0</v>
      </c>
      <c r="AD70" s="14">
        <f>SUM(J70:AC70)</f>
        <v>18.899999999999999</v>
      </c>
    </row>
    <row r="71" spans="7:30" ht="24">
      <c r="G71" s="9">
        <v>57</v>
      </c>
      <c r="H71" s="6"/>
      <c r="I71" s="6" t="s">
        <v>94</v>
      </c>
      <c r="J71" s="14">
        <v>0</v>
      </c>
      <c r="K71" s="14">
        <v>0</v>
      </c>
      <c r="L71" s="14">
        <v>0</v>
      </c>
      <c r="M71" s="14">
        <v>0</v>
      </c>
      <c r="N71" s="13">
        <v>0</v>
      </c>
      <c r="O71" s="14">
        <f>340*0.055</f>
        <v>18.7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f>SUM(J71:AC71)</f>
        <v>18.7</v>
      </c>
    </row>
    <row r="72" spans="7:30" ht="24">
      <c r="G72" s="9">
        <v>58</v>
      </c>
      <c r="H72" s="6"/>
      <c r="I72" s="6" t="s">
        <v>33</v>
      </c>
      <c r="J72" s="14">
        <f>530*0.035</f>
        <v>18.55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f>SUM(J72:AC72)</f>
        <v>18.55</v>
      </c>
    </row>
    <row r="73" spans="7:30" ht="24">
      <c r="G73" s="9">
        <v>59</v>
      </c>
      <c r="H73" s="6"/>
      <c r="I73" s="7" t="s">
        <v>100</v>
      </c>
      <c r="J73" s="14">
        <v>0</v>
      </c>
      <c r="K73" s="14">
        <v>0</v>
      </c>
      <c r="L73" s="14">
        <v>0</v>
      </c>
      <c r="M73" s="14">
        <v>0</v>
      </c>
      <c r="N73" s="13">
        <v>0</v>
      </c>
      <c r="O73" s="14">
        <v>0</v>
      </c>
      <c r="P73" s="13">
        <f>240*0.07</f>
        <v>16.8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f>SUM(J73:AC73)</f>
        <v>16.8</v>
      </c>
    </row>
    <row r="74" spans="7:30" ht="24">
      <c r="G74" s="9">
        <v>60</v>
      </c>
      <c r="H74" s="6"/>
      <c r="I74" s="6" t="s">
        <v>142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3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f>230*0.07</f>
        <v>16.100000000000001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f>SUM(J74:AC74)</f>
        <v>16.100000000000001</v>
      </c>
    </row>
    <row r="75" spans="7:30" ht="24">
      <c r="G75" s="9">
        <v>61</v>
      </c>
      <c r="H75" s="6"/>
      <c r="I75" s="6" t="s">
        <v>32</v>
      </c>
      <c r="J75" s="14">
        <f>530*0.03</f>
        <v>15.899999999999999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f>SUM(J75:AC75)</f>
        <v>15.899999999999999</v>
      </c>
    </row>
    <row r="76" spans="7:30" ht="24">
      <c r="G76" s="9">
        <v>62</v>
      </c>
      <c r="H76" s="6"/>
      <c r="I76" s="6" t="s">
        <v>31</v>
      </c>
      <c r="J76" s="14">
        <f>530*0.03</f>
        <v>15.899999999999999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f>SUM(J76:AC76)</f>
        <v>15.899999999999999</v>
      </c>
    </row>
    <row r="77" spans="7:30" ht="24">
      <c r="G77" s="9">
        <v>63</v>
      </c>
      <c r="H77" s="6"/>
      <c r="I77" s="6" t="s">
        <v>153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3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f>210*0.075</f>
        <v>15.75</v>
      </c>
      <c r="Z77" s="14">
        <v>0</v>
      </c>
      <c r="AA77" s="14">
        <v>0</v>
      </c>
      <c r="AB77" s="14">
        <v>0</v>
      </c>
      <c r="AC77" s="14">
        <v>0</v>
      </c>
      <c r="AD77" s="14">
        <f>SUM(J77:AC77)</f>
        <v>15.75</v>
      </c>
    </row>
    <row r="78" spans="7:30" ht="24">
      <c r="G78" s="9">
        <v>64</v>
      </c>
      <c r="H78" s="6"/>
      <c r="I78" s="7" t="s">
        <v>87</v>
      </c>
      <c r="J78" s="14">
        <v>0</v>
      </c>
      <c r="K78" s="14">
        <v>0</v>
      </c>
      <c r="L78" s="14">
        <v>0</v>
      </c>
      <c r="M78" s="13">
        <v>0</v>
      </c>
      <c r="N78" s="13">
        <f>300*0.05</f>
        <v>15</v>
      </c>
      <c r="O78" s="13">
        <v>0</v>
      </c>
      <c r="P78" s="13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f>SUM(J78:AC78)</f>
        <v>15</v>
      </c>
    </row>
    <row r="79" spans="7:30" ht="24">
      <c r="G79" s="9">
        <v>65</v>
      </c>
      <c r="H79" s="6"/>
      <c r="I79" s="6" t="s">
        <v>47</v>
      </c>
      <c r="J79" s="14">
        <v>0</v>
      </c>
      <c r="K79" s="14">
        <f>480*0.03</f>
        <v>14.399999999999999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f>SUM(J79:AC79)</f>
        <v>14.399999999999999</v>
      </c>
    </row>
    <row r="80" spans="7:30" ht="24">
      <c r="G80" s="9">
        <v>66</v>
      </c>
      <c r="H80" s="6"/>
      <c r="I80" s="6" t="s">
        <v>141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3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f>230*0.06</f>
        <v>13.799999999999999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f>SUM(J80:AC80)</f>
        <v>13.799999999999999</v>
      </c>
    </row>
    <row r="81" spans="7:30" ht="24">
      <c r="G81" s="9">
        <v>67</v>
      </c>
      <c r="H81" s="6"/>
      <c r="I81" s="6" t="s">
        <v>167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3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f>190*0.07</f>
        <v>13.3</v>
      </c>
      <c r="AB81" s="14">
        <v>0</v>
      </c>
      <c r="AC81" s="14">
        <v>0</v>
      </c>
      <c r="AD81" s="14">
        <f>SUM(J81:AC81)</f>
        <v>13.3</v>
      </c>
    </row>
    <row r="82" spans="7:30" ht="24">
      <c r="G82" s="9">
        <v>68</v>
      </c>
      <c r="H82" s="6"/>
      <c r="I82" s="6" t="s">
        <v>108</v>
      </c>
      <c r="J82" s="14">
        <v>0</v>
      </c>
      <c r="K82" s="14">
        <v>0</v>
      </c>
      <c r="L82" s="14">
        <v>0</v>
      </c>
      <c r="M82" s="14">
        <v>0</v>
      </c>
      <c r="N82" s="13">
        <v>0</v>
      </c>
      <c r="O82" s="14">
        <v>0</v>
      </c>
      <c r="P82" s="13">
        <v>0</v>
      </c>
      <c r="Q82" s="14">
        <v>0</v>
      </c>
      <c r="R82" s="14">
        <f>330*0.04</f>
        <v>13.200000000000001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f>SUM(J82:AC82)</f>
        <v>13.200000000000001</v>
      </c>
    </row>
    <row r="83" spans="7:30" ht="24">
      <c r="G83" s="9">
        <v>69</v>
      </c>
      <c r="H83" s="6"/>
      <c r="I83" s="10" t="s">
        <v>139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3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f>230*0.03</f>
        <v>6.8999999999999995</v>
      </c>
      <c r="X83" s="14">
        <v>0</v>
      </c>
      <c r="Y83" s="14">
        <v>0</v>
      </c>
      <c r="Z83" s="14">
        <v>0</v>
      </c>
      <c r="AA83" s="14">
        <v>0</v>
      </c>
      <c r="AB83" s="14">
        <f>170*0.035</f>
        <v>5.95</v>
      </c>
      <c r="AC83" s="14">
        <v>0</v>
      </c>
      <c r="AD83" s="14">
        <f>SUM(J83:AC83)</f>
        <v>12.85</v>
      </c>
    </row>
    <row r="84" spans="7:30" ht="24">
      <c r="G84" s="9">
        <v>70</v>
      </c>
      <c r="H84" s="6"/>
      <c r="I84" s="6" t="s">
        <v>45</v>
      </c>
      <c r="J84" s="14">
        <v>0</v>
      </c>
      <c r="K84" s="14">
        <f>480*0.02</f>
        <v>9.6</v>
      </c>
      <c r="L84" s="14">
        <v>0</v>
      </c>
      <c r="M84" s="14">
        <v>0</v>
      </c>
      <c r="N84" s="14">
        <f>300*0.01</f>
        <v>3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f>SUM(J84:AC84)</f>
        <v>12.6</v>
      </c>
    </row>
    <row r="85" spans="7:30" ht="24">
      <c r="G85" s="9">
        <v>71</v>
      </c>
      <c r="H85" s="6"/>
      <c r="I85" s="6" t="s">
        <v>99</v>
      </c>
      <c r="J85" s="14">
        <v>0</v>
      </c>
      <c r="K85" s="14">
        <v>0</v>
      </c>
      <c r="L85" s="14">
        <v>0</v>
      </c>
      <c r="M85" s="14">
        <v>0</v>
      </c>
      <c r="N85" s="13">
        <v>0</v>
      </c>
      <c r="O85" s="14">
        <v>0</v>
      </c>
      <c r="P85" s="14">
        <f>240*0.05</f>
        <v>12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f>SUM(J85:AC85)</f>
        <v>12</v>
      </c>
    </row>
    <row r="86" spans="7:30" ht="24">
      <c r="G86" s="9">
        <v>72</v>
      </c>
      <c r="H86" s="6"/>
      <c r="I86" s="6" t="s">
        <v>152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3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f>210*0.055</f>
        <v>11.55</v>
      </c>
      <c r="Z86" s="14">
        <v>0</v>
      </c>
      <c r="AA86" s="14">
        <v>0</v>
      </c>
      <c r="AB86" s="14">
        <v>0</v>
      </c>
      <c r="AC86" s="14">
        <v>0</v>
      </c>
      <c r="AD86" s="14">
        <f>SUM(J86:AC86)</f>
        <v>11.55</v>
      </c>
    </row>
    <row r="87" spans="7:30" ht="24">
      <c r="G87" s="9">
        <v>73</v>
      </c>
      <c r="H87" s="6"/>
      <c r="I87" s="6" t="s">
        <v>144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3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f>160*0.03</f>
        <v>4.8</v>
      </c>
      <c r="Y87" s="14">
        <f>210*0.03</f>
        <v>6.3</v>
      </c>
      <c r="Z87" s="14">
        <v>0</v>
      </c>
      <c r="AA87" s="14">
        <v>0</v>
      </c>
      <c r="AB87" s="14">
        <v>0</v>
      </c>
      <c r="AC87" s="14">
        <v>0</v>
      </c>
      <c r="AD87" s="14">
        <f>SUM(J87:AC87)</f>
        <v>11.1</v>
      </c>
    </row>
    <row r="88" spans="7:30" ht="24">
      <c r="G88" s="9">
        <v>74</v>
      </c>
      <c r="H88" s="6"/>
      <c r="I88" s="6" t="s">
        <v>30</v>
      </c>
      <c r="J88" s="14">
        <f>530*0.02</f>
        <v>10.6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f>SUM(J88:AC88)</f>
        <v>10.6</v>
      </c>
    </row>
    <row r="89" spans="7:30" ht="24">
      <c r="G89" s="9">
        <v>75</v>
      </c>
      <c r="H89" s="6"/>
      <c r="I89" s="6" t="s">
        <v>163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3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f>190*0.02</f>
        <v>3.8000000000000003</v>
      </c>
      <c r="AB89" s="14">
        <f>170*0.04</f>
        <v>6.8</v>
      </c>
      <c r="AC89" s="14">
        <v>0</v>
      </c>
      <c r="AD89" s="14">
        <f>SUM(J89:AC89)</f>
        <v>10.6</v>
      </c>
    </row>
    <row r="90" spans="7:30" ht="24">
      <c r="G90" s="9">
        <v>76</v>
      </c>
      <c r="H90" s="6"/>
      <c r="I90" s="10" t="s">
        <v>132</v>
      </c>
      <c r="J90" s="14">
        <v>0</v>
      </c>
      <c r="K90" s="14">
        <v>0</v>
      </c>
      <c r="L90" s="14">
        <v>0</v>
      </c>
      <c r="M90" s="14">
        <v>0</v>
      </c>
      <c r="N90" s="13">
        <v>0</v>
      </c>
      <c r="O90" s="14">
        <v>0</v>
      </c>
      <c r="P90" s="13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5">
        <f>250*0.04</f>
        <v>10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f>SUM(J90:AC90)</f>
        <v>10</v>
      </c>
    </row>
    <row r="91" spans="7:30" ht="24">
      <c r="G91" s="9">
        <v>77</v>
      </c>
      <c r="H91" s="6"/>
      <c r="I91" s="6" t="s">
        <v>160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3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f>140*0.07</f>
        <v>9.8000000000000007</v>
      </c>
      <c r="AA91" s="14">
        <v>0</v>
      </c>
      <c r="AB91" s="14">
        <v>0</v>
      </c>
      <c r="AC91" s="14">
        <v>0</v>
      </c>
      <c r="AD91" s="14">
        <f>SUM(J91:AC91)</f>
        <v>9.8000000000000007</v>
      </c>
    </row>
    <row r="92" spans="7:30" ht="24">
      <c r="G92" s="9">
        <v>78</v>
      </c>
      <c r="H92" s="6"/>
      <c r="I92" s="6" t="s">
        <v>166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3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5">
        <v>0</v>
      </c>
      <c r="Z92" s="14">
        <v>0</v>
      </c>
      <c r="AA92" s="14">
        <f>190*0.05</f>
        <v>9.5</v>
      </c>
      <c r="AB92" s="14">
        <v>0</v>
      </c>
      <c r="AC92" s="14">
        <v>0</v>
      </c>
      <c r="AD92" s="14">
        <f>SUM(J92:AC92)</f>
        <v>9.5</v>
      </c>
    </row>
    <row r="93" spans="7:30" ht="24">
      <c r="G93" s="9">
        <v>79</v>
      </c>
      <c r="H93" s="6"/>
      <c r="I93" s="6" t="s">
        <v>174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3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5">
        <v>0</v>
      </c>
      <c r="Z93" s="14">
        <v>0</v>
      </c>
      <c r="AA93" s="14">
        <v>0</v>
      </c>
      <c r="AB93" s="14">
        <f>170*0.02</f>
        <v>3.4</v>
      </c>
      <c r="AC93" s="14">
        <f>120*0.05</f>
        <v>6</v>
      </c>
      <c r="AD93" s="14">
        <f>SUM(J93:AC93)</f>
        <v>9.4</v>
      </c>
    </row>
    <row r="94" spans="7:30" ht="24">
      <c r="G94" s="9">
        <v>80</v>
      </c>
      <c r="H94" s="6"/>
      <c r="I94" s="6" t="s">
        <v>177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3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5">
        <v>0</v>
      </c>
      <c r="Z94" s="14">
        <v>0</v>
      </c>
      <c r="AA94" s="14">
        <v>0</v>
      </c>
      <c r="AB94" s="14">
        <f>170*0.055</f>
        <v>9.35</v>
      </c>
      <c r="AC94" s="14">
        <v>0</v>
      </c>
      <c r="AD94" s="14">
        <f>SUM(J94:AC94)</f>
        <v>9.35</v>
      </c>
    </row>
    <row r="95" spans="7:30" ht="24">
      <c r="G95" s="9">
        <v>81</v>
      </c>
      <c r="H95" s="6"/>
      <c r="I95" s="6" t="s">
        <v>105</v>
      </c>
      <c r="J95" s="14">
        <v>0</v>
      </c>
      <c r="K95" s="14">
        <v>0</v>
      </c>
      <c r="L95" s="14">
        <v>0</v>
      </c>
      <c r="M95" s="14">
        <v>0</v>
      </c>
      <c r="N95" s="13">
        <v>0</v>
      </c>
      <c r="O95" s="14">
        <v>0</v>
      </c>
      <c r="P95" s="13">
        <v>0</v>
      </c>
      <c r="Q95" s="14">
        <v>0</v>
      </c>
      <c r="R95" s="14">
        <f>330*0.02</f>
        <v>6.6000000000000005</v>
      </c>
      <c r="S95" s="14">
        <v>0</v>
      </c>
      <c r="T95" s="14">
        <v>0</v>
      </c>
      <c r="U95" s="14">
        <v>0</v>
      </c>
      <c r="V95" s="14">
        <v>0</v>
      </c>
      <c r="W95" s="14">
        <f>230*0.01</f>
        <v>2.3000000000000003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f>SUM(J95:AC95)</f>
        <v>8.9</v>
      </c>
    </row>
    <row r="96" spans="7:30" ht="24">
      <c r="G96" s="9">
        <v>82</v>
      </c>
      <c r="H96" s="6"/>
      <c r="I96" s="6" t="s">
        <v>146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3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f>160*0.05</f>
        <v>8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f>SUM(J96:AC96)</f>
        <v>8</v>
      </c>
    </row>
    <row r="97" spans="7:30" ht="24">
      <c r="G97" s="9">
        <v>83</v>
      </c>
      <c r="H97" s="6"/>
      <c r="I97" s="6" t="s">
        <v>159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3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f>140*0.055</f>
        <v>7.7</v>
      </c>
      <c r="AA97" s="14">
        <v>0</v>
      </c>
      <c r="AB97" s="14">
        <v>0</v>
      </c>
      <c r="AC97" s="14">
        <v>0</v>
      </c>
      <c r="AD97" s="14">
        <f>SUM(J97:AC97)</f>
        <v>7.7</v>
      </c>
    </row>
    <row r="98" spans="7:30" ht="24">
      <c r="G98" s="9">
        <v>84</v>
      </c>
      <c r="H98" s="6"/>
      <c r="I98" s="6" t="s">
        <v>60</v>
      </c>
      <c r="J98" s="14">
        <v>0</v>
      </c>
      <c r="K98" s="14">
        <v>0</v>
      </c>
      <c r="L98" s="14">
        <f>380*0.02</f>
        <v>7.6000000000000005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f>SUM(J98:AC98)</f>
        <v>7.6000000000000005</v>
      </c>
    </row>
    <row r="99" spans="7:30" ht="24">
      <c r="G99" s="9">
        <v>85</v>
      </c>
      <c r="H99" s="6"/>
      <c r="I99" s="6" t="s">
        <v>61</v>
      </c>
      <c r="J99" s="14">
        <v>0</v>
      </c>
      <c r="K99" s="14">
        <v>0</v>
      </c>
      <c r="L99" s="14">
        <f>380*0.02</f>
        <v>7.6000000000000005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f>SUM(J99:AC99)</f>
        <v>7.6000000000000005</v>
      </c>
    </row>
    <row r="100" spans="7:30" ht="24">
      <c r="G100" s="9">
        <v>86</v>
      </c>
      <c r="H100" s="6"/>
      <c r="I100" s="6" t="s">
        <v>151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3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f>210*0.035</f>
        <v>7.3500000000000005</v>
      </c>
      <c r="Z100" s="14">
        <v>0</v>
      </c>
      <c r="AA100" s="14">
        <v>0</v>
      </c>
      <c r="AB100" s="14">
        <v>0</v>
      </c>
      <c r="AC100" s="14">
        <v>0</v>
      </c>
      <c r="AD100" s="14">
        <f>SUM(J100:AC100)</f>
        <v>7.3500000000000005</v>
      </c>
    </row>
    <row r="101" spans="7:30" ht="24">
      <c r="G101" s="9">
        <v>87</v>
      </c>
      <c r="H101" s="6"/>
      <c r="I101" s="6" t="s">
        <v>149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3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65">
        <v>0</v>
      </c>
      <c r="X101" s="14">
        <v>0</v>
      </c>
      <c r="Y101" s="14">
        <f>210*0.01</f>
        <v>2.1</v>
      </c>
      <c r="Z101" s="14">
        <v>0</v>
      </c>
      <c r="AA101" s="14">
        <v>0</v>
      </c>
      <c r="AB101" s="14">
        <f>170*0.03</f>
        <v>5.0999999999999996</v>
      </c>
      <c r="AC101" s="14">
        <v>0</v>
      </c>
      <c r="AD101" s="14">
        <f>SUM(J101:AC101)</f>
        <v>7.1999999999999993</v>
      </c>
    </row>
    <row r="102" spans="7:30" ht="24">
      <c r="G102" s="9">
        <v>88</v>
      </c>
      <c r="H102" s="6"/>
      <c r="I102" s="6" t="s">
        <v>180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3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5">
        <v>0</v>
      </c>
      <c r="Z102" s="14">
        <v>0</v>
      </c>
      <c r="AA102" s="14">
        <v>0</v>
      </c>
      <c r="AB102" s="14">
        <v>0</v>
      </c>
      <c r="AC102" s="14">
        <f>120*0.06</f>
        <v>7.1999999999999993</v>
      </c>
      <c r="AD102" s="14">
        <f>SUM(J102:AC102)</f>
        <v>7.1999999999999993</v>
      </c>
    </row>
    <row r="103" spans="7:30" ht="24">
      <c r="G103" s="9">
        <v>89</v>
      </c>
      <c r="H103" s="6"/>
      <c r="I103" s="6" t="s">
        <v>126</v>
      </c>
      <c r="J103" s="14">
        <v>0</v>
      </c>
      <c r="K103" s="14">
        <v>0</v>
      </c>
      <c r="L103" s="14">
        <v>0</v>
      </c>
      <c r="M103" s="14">
        <v>0</v>
      </c>
      <c r="N103" s="13">
        <v>0</v>
      </c>
      <c r="O103" s="14">
        <v>0</v>
      </c>
      <c r="P103" s="13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f>200*0.035</f>
        <v>7.0000000000000009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f>SUM(J103:AC103)</f>
        <v>7.0000000000000009</v>
      </c>
    </row>
    <row r="104" spans="7:30" ht="24">
      <c r="G104" s="9">
        <v>90</v>
      </c>
      <c r="H104" s="6"/>
      <c r="I104" s="6" t="s">
        <v>140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3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f>230*0.03</f>
        <v>6.8999999999999995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f>SUM(J104:AC104)</f>
        <v>6.8999999999999995</v>
      </c>
    </row>
    <row r="105" spans="7:30" ht="24">
      <c r="G105" s="9">
        <v>91</v>
      </c>
      <c r="H105" s="6"/>
      <c r="I105" s="6" t="s">
        <v>176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3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f>170*0.04</f>
        <v>6.8</v>
      </c>
      <c r="AC105" s="14">
        <v>0</v>
      </c>
      <c r="AD105" s="14">
        <f>SUM(J105:AC105)</f>
        <v>6.8</v>
      </c>
    </row>
    <row r="106" spans="7:30" ht="24">
      <c r="G106" s="9">
        <v>92</v>
      </c>
      <c r="H106" s="6"/>
      <c r="I106" s="6" t="s">
        <v>165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3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f>190*0.035</f>
        <v>6.65</v>
      </c>
      <c r="AB106" s="14">
        <v>0</v>
      </c>
      <c r="AC106" s="14">
        <v>0</v>
      </c>
      <c r="AD106" s="14">
        <f>SUM(J106:AC106)</f>
        <v>6.65</v>
      </c>
    </row>
    <row r="107" spans="7:30" ht="24">
      <c r="G107" s="9">
        <v>93</v>
      </c>
      <c r="H107" s="6"/>
      <c r="I107" s="6" t="s">
        <v>106</v>
      </c>
      <c r="J107" s="14">
        <v>0</v>
      </c>
      <c r="K107" s="14">
        <v>0</v>
      </c>
      <c r="L107" s="14">
        <v>0</v>
      </c>
      <c r="M107" s="14">
        <v>0</v>
      </c>
      <c r="N107" s="13">
        <v>0</v>
      </c>
      <c r="O107" s="14">
        <v>0</v>
      </c>
      <c r="P107" s="13">
        <v>0</v>
      </c>
      <c r="Q107" s="14">
        <v>0</v>
      </c>
      <c r="R107" s="14">
        <f>330*0.02</f>
        <v>6.6000000000000005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f>SUM(J107:AC107)</f>
        <v>6.6000000000000005</v>
      </c>
    </row>
    <row r="108" spans="7:30" ht="24">
      <c r="G108" s="9">
        <v>94</v>
      </c>
      <c r="H108" s="6"/>
      <c r="I108" s="6" t="s">
        <v>179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3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f>120*0.055</f>
        <v>6.6</v>
      </c>
      <c r="AD108" s="14">
        <f>SUM(J108:AC108)</f>
        <v>6.6</v>
      </c>
    </row>
    <row r="109" spans="7:30" ht="24">
      <c r="G109" s="9">
        <v>95</v>
      </c>
      <c r="H109" s="6"/>
      <c r="I109" s="6" t="s">
        <v>150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3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f>210*0.03</f>
        <v>6.3</v>
      </c>
      <c r="Z109" s="14">
        <v>0</v>
      </c>
      <c r="AA109" s="14">
        <v>0</v>
      </c>
      <c r="AB109" s="14">
        <v>0</v>
      </c>
      <c r="AC109" s="14">
        <v>0</v>
      </c>
      <c r="AD109" s="14">
        <f>SUM(J109:AC109)</f>
        <v>6.3</v>
      </c>
    </row>
    <row r="110" spans="7:30" ht="24">
      <c r="G110" s="9">
        <v>96</v>
      </c>
      <c r="H110" s="6"/>
      <c r="I110" s="6" t="s">
        <v>124</v>
      </c>
      <c r="J110" s="14">
        <v>0</v>
      </c>
      <c r="K110" s="14">
        <v>0</v>
      </c>
      <c r="L110" s="14">
        <v>0</v>
      </c>
      <c r="M110" s="14">
        <v>0</v>
      </c>
      <c r="N110" s="13">
        <v>0</v>
      </c>
      <c r="O110" s="14">
        <v>0</v>
      </c>
      <c r="P110" s="13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f>200*0.03</f>
        <v>6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f>SUM(J110:AC110)</f>
        <v>6</v>
      </c>
    </row>
    <row r="111" spans="7:30" ht="24">
      <c r="G111" s="9">
        <v>97</v>
      </c>
      <c r="H111" s="6"/>
      <c r="I111" s="6" t="s">
        <v>175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3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f>170*0.035</f>
        <v>5.95</v>
      </c>
      <c r="AC111" s="14">
        <v>0</v>
      </c>
      <c r="AD111" s="14">
        <f>SUM(J111:AC111)</f>
        <v>5.95</v>
      </c>
    </row>
    <row r="112" spans="7:30" ht="24">
      <c r="G112" s="9">
        <v>98</v>
      </c>
      <c r="H112" s="6"/>
      <c r="I112" s="6" t="s">
        <v>164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3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f>190*0.03</f>
        <v>5.7</v>
      </c>
      <c r="AB112" s="14">
        <v>0</v>
      </c>
      <c r="AC112" s="14">
        <v>0</v>
      </c>
      <c r="AD112" s="14">
        <f>SUM(J112:AC112)</f>
        <v>5.7</v>
      </c>
    </row>
    <row r="113" spans="7:30" ht="24">
      <c r="G113" s="9">
        <v>99</v>
      </c>
      <c r="H113" s="6"/>
      <c r="I113" s="6" t="s">
        <v>145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3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f>160*0.035</f>
        <v>5.6000000000000005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f>SUM(J113:AC113)</f>
        <v>5.6000000000000005</v>
      </c>
    </row>
    <row r="114" spans="7:30" ht="24">
      <c r="G114" s="9">
        <v>100</v>
      </c>
      <c r="H114" s="6"/>
      <c r="I114" s="6" t="s">
        <v>157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3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f>140*0.04</f>
        <v>5.6000000000000005</v>
      </c>
      <c r="AA114" s="14">
        <v>0</v>
      </c>
      <c r="AB114" s="14">
        <v>0</v>
      </c>
      <c r="AC114" s="14">
        <v>0</v>
      </c>
      <c r="AD114" s="14">
        <f>SUM(J114:AC114)</f>
        <v>5.6000000000000005</v>
      </c>
    </row>
    <row r="115" spans="7:30" ht="24">
      <c r="G115" s="9">
        <v>101</v>
      </c>
      <c r="H115" s="6"/>
      <c r="I115" s="6" t="s">
        <v>1</v>
      </c>
      <c r="J115" s="14">
        <f>530*0.01</f>
        <v>5.3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f>SUM(J115:AC115)</f>
        <v>5.3</v>
      </c>
    </row>
    <row r="116" spans="7:30" ht="24">
      <c r="G116" s="9">
        <v>102</v>
      </c>
      <c r="H116" s="6"/>
      <c r="I116" s="6" t="s">
        <v>117</v>
      </c>
      <c r="J116" s="14">
        <v>0</v>
      </c>
      <c r="K116" s="14">
        <v>0</v>
      </c>
      <c r="L116" s="14">
        <v>0</v>
      </c>
      <c r="M116" s="14">
        <v>0</v>
      </c>
      <c r="N116" s="13">
        <v>0</v>
      </c>
      <c r="O116" s="14">
        <v>0</v>
      </c>
      <c r="P116" s="13">
        <v>0</v>
      </c>
      <c r="Q116" s="14">
        <v>0</v>
      </c>
      <c r="R116" s="14">
        <v>0</v>
      </c>
      <c r="S116" s="14">
        <v>0</v>
      </c>
      <c r="T116" s="14">
        <f>250*0.02</f>
        <v>5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f>SUM(J116:AC116)</f>
        <v>5</v>
      </c>
    </row>
    <row r="117" spans="7:30" ht="24">
      <c r="G117" s="9">
        <v>103</v>
      </c>
      <c r="H117" s="6"/>
      <c r="I117" s="6" t="s">
        <v>118</v>
      </c>
      <c r="J117" s="14">
        <v>0</v>
      </c>
      <c r="K117" s="14">
        <v>0</v>
      </c>
      <c r="L117" s="14">
        <v>0</v>
      </c>
      <c r="M117" s="14">
        <v>0</v>
      </c>
      <c r="N117" s="13">
        <v>0</v>
      </c>
      <c r="O117" s="14">
        <v>0</v>
      </c>
      <c r="P117" s="13">
        <v>0</v>
      </c>
      <c r="Q117" s="14">
        <v>0</v>
      </c>
      <c r="R117" s="14">
        <v>0</v>
      </c>
      <c r="S117" s="14">
        <v>0</v>
      </c>
      <c r="T117" s="14">
        <f>250*0.02</f>
        <v>5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f>SUM(J117:AC117)</f>
        <v>5</v>
      </c>
    </row>
    <row r="118" spans="7:30" ht="24">
      <c r="G118" s="9">
        <v>104</v>
      </c>
      <c r="H118" s="6"/>
      <c r="I118" s="6" t="s">
        <v>130</v>
      </c>
      <c r="J118" s="14">
        <v>0</v>
      </c>
      <c r="K118" s="14">
        <v>0</v>
      </c>
      <c r="L118" s="14">
        <v>0</v>
      </c>
      <c r="M118" s="14">
        <v>0</v>
      </c>
      <c r="N118" s="13">
        <v>0</v>
      </c>
      <c r="O118" s="14">
        <v>0</v>
      </c>
      <c r="P118" s="13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f>250*0.02</f>
        <v>5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f>SUM(J118:AC118)</f>
        <v>5</v>
      </c>
    </row>
    <row r="119" spans="7:30" ht="24">
      <c r="G119" s="9">
        <v>105</v>
      </c>
      <c r="H119" s="6"/>
      <c r="I119" s="6" t="s">
        <v>131</v>
      </c>
      <c r="J119" s="14">
        <v>0</v>
      </c>
      <c r="K119" s="14">
        <v>0</v>
      </c>
      <c r="L119" s="14">
        <v>0</v>
      </c>
      <c r="M119" s="14">
        <v>0</v>
      </c>
      <c r="N119" s="13">
        <v>0</v>
      </c>
      <c r="O119" s="14">
        <v>0</v>
      </c>
      <c r="P119" s="13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f>250*0.02</f>
        <v>5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f>SUM(J119:AC119)</f>
        <v>5</v>
      </c>
    </row>
    <row r="120" spans="7:30" ht="24">
      <c r="G120" s="9">
        <v>106</v>
      </c>
      <c r="H120" s="6"/>
      <c r="I120" s="6" t="s">
        <v>44</v>
      </c>
      <c r="J120" s="14">
        <v>0</v>
      </c>
      <c r="K120" s="14">
        <f>480*0.01</f>
        <v>4.8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f>SUM(J120:AC120)</f>
        <v>4.8</v>
      </c>
    </row>
    <row r="121" spans="7:30" ht="24">
      <c r="G121" s="9">
        <v>107</v>
      </c>
      <c r="H121" s="6"/>
      <c r="I121" s="6" t="s">
        <v>96</v>
      </c>
      <c r="J121" s="14">
        <v>0</v>
      </c>
      <c r="K121" s="14">
        <v>0</v>
      </c>
      <c r="L121" s="14">
        <v>0</v>
      </c>
      <c r="M121" s="14">
        <v>0</v>
      </c>
      <c r="N121" s="13">
        <v>0</v>
      </c>
      <c r="O121" s="14">
        <v>0</v>
      </c>
      <c r="P121" s="14">
        <f>240*0.02</f>
        <v>4.8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f>SUM(J121:AC121)</f>
        <v>4.8</v>
      </c>
    </row>
    <row r="122" spans="7:30" ht="24">
      <c r="G122" s="9">
        <v>108</v>
      </c>
      <c r="H122" s="6"/>
      <c r="I122" s="6" t="s">
        <v>178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3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f>120*0.04</f>
        <v>4.8</v>
      </c>
      <c r="AD122" s="14">
        <f>SUM(J122:AC122)</f>
        <v>4.8</v>
      </c>
    </row>
    <row r="123" spans="7:30" ht="24">
      <c r="G123" s="9">
        <v>109</v>
      </c>
      <c r="H123" s="6"/>
      <c r="I123" s="10" t="s">
        <v>138</v>
      </c>
      <c r="J123" s="14">
        <v>0</v>
      </c>
      <c r="K123" s="14">
        <v>0</v>
      </c>
      <c r="L123" s="14">
        <v>0</v>
      </c>
      <c r="M123" s="14">
        <v>0</v>
      </c>
      <c r="N123" s="13">
        <v>0</v>
      </c>
      <c r="O123" s="14">
        <v>0</v>
      </c>
      <c r="P123" s="13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f>230*0.02</f>
        <v>4.6000000000000005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f>SUM(J123:AC123)</f>
        <v>4.6000000000000005</v>
      </c>
    </row>
    <row r="124" spans="7:30" ht="24">
      <c r="G124" s="9">
        <v>110</v>
      </c>
      <c r="H124" s="6"/>
      <c r="I124" s="6" t="s">
        <v>121</v>
      </c>
      <c r="J124" s="14">
        <v>0</v>
      </c>
      <c r="K124" s="14">
        <v>0</v>
      </c>
      <c r="L124" s="14">
        <v>0</v>
      </c>
      <c r="M124" s="14">
        <v>0</v>
      </c>
      <c r="N124" s="13">
        <v>0</v>
      </c>
      <c r="O124" s="14">
        <v>0</v>
      </c>
      <c r="P124" s="13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f>200*0.01</f>
        <v>2</v>
      </c>
      <c r="V124" s="14">
        <f>250*0.01</f>
        <v>2.5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f>SUM(J124:AC124)</f>
        <v>4.5</v>
      </c>
    </row>
    <row r="125" spans="7:30" ht="24">
      <c r="G125" s="9">
        <v>111</v>
      </c>
      <c r="H125" s="6"/>
      <c r="I125" s="6" t="s">
        <v>72</v>
      </c>
      <c r="J125" s="14">
        <v>0</v>
      </c>
      <c r="K125" s="14">
        <v>0</v>
      </c>
      <c r="L125" s="14">
        <v>0</v>
      </c>
      <c r="M125" s="14">
        <f>420*0.01</f>
        <v>4.2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f>SUM(J125:AC125)</f>
        <v>4.2</v>
      </c>
    </row>
    <row r="126" spans="7:30" ht="24">
      <c r="G126" s="9">
        <v>112</v>
      </c>
      <c r="H126" s="6"/>
      <c r="I126" s="7" t="s">
        <v>122</v>
      </c>
      <c r="J126" s="14">
        <v>0</v>
      </c>
      <c r="K126" s="14">
        <v>0</v>
      </c>
      <c r="L126" s="14">
        <v>0</v>
      </c>
      <c r="M126" s="14">
        <v>0</v>
      </c>
      <c r="N126" s="13">
        <v>0</v>
      </c>
      <c r="O126" s="14">
        <v>0</v>
      </c>
      <c r="P126" s="13">
        <v>0</v>
      </c>
      <c r="Q126" s="14">
        <v>0</v>
      </c>
      <c r="R126" s="14">
        <v>0</v>
      </c>
      <c r="S126" s="14">
        <v>0</v>
      </c>
      <c r="T126" s="14">
        <v>0</v>
      </c>
      <c r="U126" s="13">
        <f>200*0.02</f>
        <v>4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f>SUM(J126:AC126)</f>
        <v>4</v>
      </c>
    </row>
    <row r="127" spans="7:30" ht="24">
      <c r="G127" s="9">
        <v>113</v>
      </c>
      <c r="H127" s="6"/>
      <c r="I127" s="6" t="s">
        <v>123</v>
      </c>
      <c r="J127" s="14">
        <v>0</v>
      </c>
      <c r="K127" s="14">
        <v>0</v>
      </c>
      <c r="L127" s="14">
        <v>0</v>
      </c>
      <c r="M127" s="14">
        <v>0</v>
      </c>
      <c r="N127" s="13">
        <v>0</v>
      </c>
      <c r="O127" s="14">
        <v>0</v>
      </c>
      <c r="P127" s="13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f>200*0.02</f>
        <v>4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f>SUM(J127:AC127)</f>
        <v>4</v>
      </c>
    </row>
    <row r="128" spans="7:30" ht="24">
      <c r="G128" s="9">
        <v>114</v>
      </c>
      <c r="H128" s="6"/>
      <c r="I128" s="6" t="s">
        <v>59</v>
      </c>
      <c r="J128" s="14">
        <v>0</v>
      </c>
      <c r="K128" s="14">
        <v>0</v>
      </c>
      <c r="L128" s="14">
        <f>380*0.01</f>
        <v>3.8000000000000003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f>SUM(J128:AC128)</f>
        <v>3.8000000000000003</v>
      </c>
    </row>
    <row r="129" spans="7:30" ht="24">
      <c r="G129" s="9">
        <v>115</v>
      </c>
      <c r="H129" s="6"/>
      <c r="I129" s="7" t="s">
        <v>91</v>
      </c>
      <c r="J129" s="14">
        <v>0</v>
      </c>
      <c r="K129" s="14">
        <v>0</v>
      </c>
      <c r="L129" s="14">
        <v>0</v>
      </c>
      <c r="M129" s="13">
        <v>0</v>
      </c>
      <c r="N129" s="13">
        <v>0</v>
      </c>
      <c r="O129" s="13">
        <f>340*0.01</f>
        <v>3.4</v>
      </c>
      <c r="P129" s="13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f>SUM(J129:AC129)</f>
        <v>3.4</v>
      </c>
    </row>
    <row r="130" spans="7:30" ht="24">
      <c r="G130" s="9">
        <v>116</v>
      </c>
      <c r="H130" s="6"/>
      <c r="I130" s="6" t="s">
        <v>116</v>
      </c>
      <c r="J130" s="14">
        <v>0</v>
      </c>
      <c r="K130" s="14">
        <v>0</v>
      </c>
      <c r="L130" s="14">
        <v>0</v>
      </c>
      <c r="M130" s="14">
        <v>0</v>
      </c>
      <c r="N130" s="13">
        <v>0</v>
      </c>
      <c r="O130" s="14">
        <v>0</v>
      </c>
      <c r="P130" s="13">
        <v>0</v>
      </c>
      <c r="Q130" s="14">
        <v>0</v>
      </c>
      <c r="R130" s="14">
        <v>0</v>
      </c>
      <c r="S130" s="14">
        <v>0</v>
      </c>
      <c r="T130" s="14">
        <f>250*0.01</f>
        <v>2.5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f>SUM(J130:AC130)</f>
        <v>2.5</v>
      </c>
    </row>
    <row r="131" spans="7:30" ht="24">
      <c r="G131" s="9">
        <v>117</v>
      </c>
      <c r="H131" s="6"/>
      <c r="I131" s="6" t="s">
        <v>129</v>
      </c>
      <c r="J131" s="14">
        <v>0</v>
      </c>
      <c r="K131" s="14">
        <v>0</v>
      </c>
      <c r="L131" s="14">
        <v>0</v>
      </c>
      <c r="M131" s="14">
        <v>0</v>
      </c>
      <c r="N131" s="13">
        <v>0</v>
      </c>
      <c r="O131" s="14">
        <v>0</v>
      </c>
      <c r="P131" s="13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f>250*0.01</f>
        <v>2.5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f>SUM(J131:AC131)</f>
        <v>2.5</v>
      </c>
    </row>
    <row r="132" spans="7:30" ht="24">
      <c r="G132" s="9">
        <v>118</v>
      </c>
      <c r="H132" s="6"/>
      <c r="I132" s="6"/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3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/>
      <c r="AC132" s="14"/>
      <c r="AD132" s="14">
        <f t="shared" ref="AD101:AD146" si="0">SUM(J132:AC132)</f>
        <v>0</v>
      </c>
    </row>
    <row r="133" spans="7:30" ht="24">
      <c r="G133" s="9">
        <v>119</v>
      </c>
      <c r="H133" s="6"/>
      <c r="I133" s="6"/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3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/>
      <c r="AC133" s="14"/>
      <c r="AD133" s="14">
        <f t="shared" si="0"/>
        <v>0</v>
      </c>
    </row>
    <row r="134" spans="7:30" ht="24">
      <c r="G134" s="9">
        <v>120</v>
      </c>
      <c r="H134" s="6"/>
      <c r="I134" s="6"/>
      <c r="J134" s="10"/>
      <c r="K134" s="10"/>
      <c r="L134" s="15"/>
      <c r="M134" s="15"/>
      <c r="N134" s="15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4">
        <f t="shared" si="0"/>
        <v>0</v>
      </c>
    </row>
    <row r="135" spans="7:30" ht="24">
      <c r="G135" s="9">
        <v>121</v>
      </c>
      <c r="H135" s="6"/>
      <c r="I135" s="6"/>
      <c r="J135" s="10"/>
      <c r="K135" s="10"/>
      <c r="L135" s="15"/>
      <c r="M135" s="15"/>
      <c r="N135" s="15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4">
        <f t="shared" si="0"/>
        <v>0</v>
      </c>
    </row>
    <row r="136" spans="7:30" ht="24">
      <c r="G136" s="9">
        <v>122</v>
      </c>
      <c r="H136" s="6"/>
      <c r="I136" s="6"/>
      <c r="J136" s="10"/>
      <c r="K136" s="10"/>
      <c r="L136" s="15"/>
      <c r="M136" s="15"/>
      <c r="N136" s="15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4">
        <f t="shared" si="0"/>
        <v>0</v>
      </c>
    </row>
    <row r="137" spans="7:30" ht="24">
      <c r="G137" s="9">
        <v>123</v>
      </c>
      <c r="H137" s="6"/>
      <c r="I137" s="6"/>
      <c r="J137" s="10"/>
      <c r="K137" s="10"/>
      <c r="L137" s="15"/>
      <c r="M137" s="15"/>
      <c r="N137" s="15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4">
        <f t="shared" si="0"/>
        <v>0</v>
      </c>
    </row>
    <row r="138" spans="7:30" ht="24">
      <c r="G138" s="9">
        <v>124</v>
      </c>
      <c r="H138" s="6"/>
      <c r="I138" s="10"/>
      <c r="J138" s="10"/>
      <c r="K138" s="10"/>
      <c r="L138" s="15"/>
      <c r="M138" s="15"/>
      <c r="N138" s="15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4">
        <f t="shared" si="0"/>
        <v>0</v>
      </c>
    </row>
    <row r="139" spans="7:30" ht="24">
      <c r="G139" s="9">
        <v>125</v>
      </c>
      <c r="H139" s="6"/>
      <c r="I139" s="10"/>
      <c r="J139" s="10"/>
      <c r="K139" s="10"/>
      <c r="L139" s="15"/>
      <c r="M139" s="15"/>
      <c r="N139" s="15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4">
        <f t="shared" si="0"/>
        <v>0</v>
      </c>
    </row>
    <row r="140" spans="7:30" ht="24">
      <c r="G140" s="9">
        <v>126</v>
      </c>
      <c r="H140" s="6"/>
      <c r="I140" s="12"/>
      <c r="J140" s="10"/>
      <c r="K140" s="10"/>
      <c r="L140" s="15"/>
      <c r="M140" s="10"/>
      <c r="N140" s="15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4">
        <f t="shared" si="0"/>
        <v>0</v>
      </c>
    </row>
    <row r="141" spans="7:30" ht="24">
      <c r="G141" s="9">
        <v>127</v>
      </c>
      <c r="H141" s="6"/>
      <c r="I141" s="10"/>
      <c r="J141" s="10"/>
      <c r="K141" s="10"/>
      <c r="L141" s="15"/>
      <c r="M141" s="10"/>
      <c r="N141" s="15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4">
        <f t="shared" si="0"/>
        <v>0</v>
      </c>
    </row>
    <row r="142" spans="7:30" ht="24">
      <c r="G142" s="9">
        <v>128</v>
      </c>
      <c r="H142" s="6"/>
      <c r="I142" s="10"/>
      <c r="J142" s="10"/>
      <c r="K142" s="10"/>
      <c r="L142" s="15"/>
      <c r="M142" s="10"/>
      <c r="N142" s="15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4">
        <f t="shared" si="0"/>
        <v>0</v>
      </c>
    </row>
    <row r="143" spans="7:30" ht="24">
      <c r="G143" s="9">
        <v>129</v>
      </c>
      <c r="H143" s="6"/>
      <c r="I143" s="10"/>
      <c r="J143" s="10"/>
      <c r="K143" s="10"/>
      <c r="L143" s="15"/>
      <c r="M143" s="10"/>
      <c r="N143" s="15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4">
        <f t="shared" si="0"/>
        <v>0</v>
      </c>
    </row>
    <row r="144" spans="7:30" ht="24">
      <c r="G144" s="9">
        <v>130</v>
      </c>
      <c r="H144" s="6"/>
      <c r="I144" s="10"/>
      <c r="J144" s="10"/>
      <c r="K144" s="10"/>
      <c r="L144" s="15"/>
      <c r="M144" s="10"/>
      <c r="N144" s="15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4">
        <f t="shared" si="0"/>
        <v>0</v>
      </c>
    </row>
    <row r="145" spans="7:30" ht="24">
      <c r="G145" s="9">
        <v>131</v>
      </c>
      <c r="H145" s="6"/>
      <c r="I145" s="10"/>
      <c r="J145" s="10"/>
      <c r="K145" s="10"/>
      <c r="L145" s="15"/>
      <c r="M145" s="10"/>
      <c r="N145" s="15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4">
        <f t="shared" si="0"/>
        <v>0</v>
      </c>
    </row>
    <row r="146" spans="7:30" ht="24">
      <c r="G146" s="9">
        <v>132</v>
      </c>
      <c r="H146" s="6"/>
      <c r="I146" s="10"/>
      <c r="J146" s="10"/>
      <c r="K146" s="10"/>
      <c r="L146" s="15"/>
      <c r="M146" s="10"/>
      <c r="N146" s="15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4">
        <f t="shared" si="0"/>
        <v>0</v>
      </c>
    </row>
    <row r="147" spans="7:30" ht="24">
      <c r="G147" s="9">
        <v>133</v>
      </c>
      <c r="H147" s="6"/>
      <c r="I147" s="10"/>
      <c r="J147" s="10"/>
      <c r="K147" s="10"/>
      <c r="L147" s="15"/>
      <c r="M147" s="10"/>
      <c r="N147" s="15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1"/>
    </row>
    <row r="148" spans="7:30" ht="24">
      <c r="G148" s="9">
        <v>134</v>
      </c>
      <c r="H148" s="6"/>
      <c r="I148" s="10"/>
      <c r="J148" s="10"/>
      <c r="K148" s="10"/>
      <c r="L148" s="15"/>
      <c r="M148" s="10"/>
      <c r="N148" s="15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1"/>
    </row>
    <row r="149" spans="7:30" ht="24">
      <c r="G149" s="9">
        <v>135</v>
      </c>
      <c r="H149" s="6"/>
      <c r="I149" s="10"/>
      <c r="J149" s="10"/>
      <c r="K149" s="10"/>
      <c r="L149" s="15"/>
      <c r="M149" s="10"/>
      <c r="N149" s="15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1"/>
    </row>
    <row r="150" spans="7:30" ht="24">
      <c r="G150" s="9">
        <v>136</v>
      </c>
      <c r="H150" s="6"/>
      <c r="I150" s="10"/>
      <c r="J150" s="10"/>
      <c r="K150" s="10"/>
      <c r="L150" s="15"/>
      <c r="M150" s="10"/>
      <c r="N150" s="15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1"/>
    </row>
    <row r="151" spans="7:30" ht="24">
      <c r="G151" s="9">
        <v>137</v>
      </c>
      <c r="H151" s="6"/>
      <c r="I151" s="10"/>
      <c r="J151" s="10"/>
      <c r="K151" s="10"/>
      <c r="L151" s="15"/>
      <c r="M151" s="10"/>
      <c r="N151" s="15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1"/>
    </row>
    <row r="152" spans="7:30" ht="24">
      <c r="G152" s="9">
        <v>138</v>
      </c>
      <c r="H152" s="6"/>
      <c r="I152" s="10"/>
      <c r="J152" s="10"/>
      <c r="K152" s="10"/>
      <c r="L152" s="15"/>
      <c r="M152" s="10"/>
      <c r="N152" s="15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1"/>
    </row>
    <row r="153" spans="7:30" ht="24">
      <c r="G153" s="9">
        <v>139</v>
      </c>
      <c r="H153" s="6"/>
      <c r="I153" s="10"/>
      <c r="J153" s="10"/>
      <c r="K153" s="10"/>
      <c r="L153" s="15"/>
      <c r="M153" s="10"/>
      <c r="N153" s="15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1"/>
    </row>
    <row r="154" spans="7:30" ht="24">
      <c r="G154" s="9">
        <v>140</v>
      </c>
      <c r="H154" s="6"/>
      <c r="I154" s="10"/>
      <c r="J154" s="10"/>
      <c r="K154" s="10"/>
      <c r="L154" s="15"/>
      <c r="M154" s="10"/>
      <c r="N154" s="15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1"/>
    </row>
    <row r="155" spans="7:30" ht="24">
      <c r="G155" s="9">
        <v>141</v>
      </c>
      <c r="H155" s="6"/>
      <c r="I155" s="10"/>
      <c r="J155" s="10"/>
      <c r="K155" s="10"/>
      <c r="L155" s="15"/>
      <c r="M155" s="10"/>
      <c r="N155" s="15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1"/>
    </row>
    <row r="156" spans="7:30" ht="24">
      <c r="G156" s="9">
        <v>142</v>
      </c>
      <c r="H156" s="6"/>
      <c r="I156" s="10"/>
      <c r="J156" s="10"/>
      <c r="K156" s="10"/>
      <c r="L156" s="15"/>
      <c r="M156" s="10"/>
      <c r="N156" s="15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1"/>
    </row>
    <row r="157" spans="7:30" ht="24">
      <c r="G157" s="9">
        <v>143</v>
      </c>
      <c r="H157" s="6"/>
      <c r="I157" s="10"/>
      <c r="J157" s="10"/>
      <c r="K157" s="10"/>
      <c r="L157" s="15"/>
      <c r="M157" s="10"/>
      <c r="N157" s="15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1"/>
    </row>
    <row r="158" spans="7:30" ht="24">
      <c r="G158" s="9">
        <v>144</v>
      </c>
      <c r="H158" s="6"/>
      <c r="I158" s="10"/>
      <c r="J158" s="10"/>
      <c r="K158" s="10"/>
      <c r="L158" s="15"/>
      <c r="M158" s="10"/>
      <c r="N158" s="15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1"/>
    </row>
    <row r="159" spans="7:30" ht="24">
      <c r="G159" s="9">
        <v>145</v>
      </c>
      <c r="H159" s="6"/>
      <c r="I159" s="10"/>
      <c r="J159" s="10"/>
      <c r="K159" s="10"/>
      <c r="L159" s="15"/>
      <c r="M159" s="10"/>
      <c r="N159" s="15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1"/>
    </row>
    <row r="160" spans="7:30" ht="24">
      <c r="G160" s="9">
        <v>146</v>
      </c>
      <c r="H160" s="6"/>
      <c r="I160" s="10"/>
      <c r="J160" s="10"/>
      <c r="K160" s="10"/>
      <c r="L160" s="15"/>
      <c r="M160" s="10"/>
      <c r="N160" s="15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1"/>
    </row>
    <row r="161" spans="7:30" ht="24">
      <c r="G161" s="9">
        <v>147</v>
      </c>
      <c r="H161" s="6"/>
      <c r="I161" s="10"/>
      <c r="J161" s="10"/>
      <c r="K161" s="10"/>
      <c r="L161" s="15"/>
      <c r="M161" s="10"/>
      <c r="N161" s="15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1"/>
    </row>
    <row r="162" spans="7:30" ht="24">
      <c r="G162" s="9">
        <v>148</v>
      </c>
      <c r="H162" s="6"/>
      <c r="I162" s="10"/>
      <c r="J162" s="10"/>
      <c r="K162" s="10"/>
      <c r="L162" s="15"/>
      <c r="M162" s="10"/>
      <c r="N162" s="15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1"/>
    </row>
    <row r="163" spans="7:30" ht="24">
      <c r="G163" s="9">
        <v>149</v>
      </c>
      <c r="H163" s="6"/>
      <c r="I163" s="10"/>
      <c r="J163" s="10"/>
      <c r="K163" s="10"/>
      <c r="L163" s="15"/>
      <c r="M163" s="10"/>
      <c r="N163" s="15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1"/>
    </row>
    <row r="164" spans="7:30" ht="24">
      <c r="G164" s="9">
        <v>150</v>
      </c>
      <c r="H164" s="6"/>
      <c r="I164" s="10"/>
      <c r="J164" s="10"/>
      <c r="K164" s="10"/>
      <c r="L164" s="15"/>
      <c r="M164" s="10"/>
      <c r="N164" s="15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1"/>
    </row>
    <row r="165" spans="7:30" ht="24">
      <c r="G165" s="9">
        <v>151</v>
      </c>
      <c r="H165" s="6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1"/>
    </row>
    <row r="166" spans="7:30" ht="24">
      <c r="G166" s="9">
        <v>152</v>
      </c>
      <c r="H166" s="6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1"/>
    </row>
    <row r="167" spans="7:30" ht="24">
      <c r="G167" s="9">
        <v>153</v>
      </c>
      <c r="H167" s="6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1"/>
    </row>
    <row r="168" spans="7:30" ht="24">
      <c r="G168" s="9">
        <v>154</v>
      </c>
      <c r="H168" s="6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1"/>
    </row>
    <row r="169" spans="7:30" ht="24">
      <c r="G169" s="9">
        <v>155</v>
      </c>
      <c r="H169" s="6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1"/>
    </row>
    <row r="170" spans="7:30" ht="24">
      <c r="G170" s="9">
        <v>156</v>
      </c>
      <c r="H170" s="6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1"/>
    </row>
    <row r="171" spans="7:30" ht="24">
      <c r="G171" s="9">
        <v>157</v>
      </c>
      <c r="H171" s="6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1"/>
    </row>
    <row r="172" spans="7:30" ht="24">
      <c r="G172" s="9">
        <v>158</v>
      </c>
      <c r="H172" s="6"/>
      <c r="I172" s="10"/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1">
        <f t="shared" ref="AD172:AD192" si="1">SUM(I172:O172)</f>
        <v>0</v>
      </c>
    </row>
    <row r="173" spans="7:30" ht="24">
      <c r="G173" s="9">
        <v>159</v>
      </c>
      <c r="H173" s="6"/>
      <c r="I173" s="10"/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1">
        <f t="shared" si="1"/>
        <v>0</v>
      </c>
    </row>
    <row r="174" spans="7:30" ht="24">
      <c r="G174" s="9">
        <v>160</v>
      </c>
      <c r="H174" s="6"/>
      <c r="I174" s="10"/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1">
        <f t="shared" si="1"/>
        <v>0</v>
      </c>
    </row>
    <row r="175" spans="7:30" ht="24">
      <c r="G175" s="9">
        <v>161</v>
      </c>
      <c r="H175" s="6"/>
      <c r="I175" s="10"/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1">
        <f t="shared" si="1"/>
        <v>0</v>
      </c>
    </row>
    <row r="176" spans="7:30" ht="24">
      <c r="G176" s="9">
        <v>162</v>
      </c>
      <c r="H176" s="6"/>
      <c r="I176" s="10"/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1">
        <f t="shared" si="1"/>
        <v>0</v>
      </c>
    </row>
    <row r="177" spans="7:30" ht="24">
      <c r="G177" s="9">
        <v>163</v>
      </c>
      <c r="H177" s="6"/>
      <c r="I177" s="10"/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1">
        <f t="shared" si="1"/>
        <v>0</v>
      </c>
    </row>
    <row r="178" spans="7:30" ht="24">
      <c r="G178" s="9">
        <v>164</v>
      </c>
      <c r="H178" s="6"/>
      <c r="I178" s="10"/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1">
        <f t="shared" si="1"/>
        <v>0</v>
      </c>
    </row>
    <row r="179" spans="7:30" ht="24">
      <c r="G179" s="9">
        <v>165</v>
      </c>
      <c r="H179" s="6"/>
      <c r="I179" s="10"/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1">
        <f t="shared" si="1"/>
        <v>0</v>
      </c>
    </row>
    <row r="180" spans="7:30" ht="24">
      <c r="G180" s="9">
        <v>166</v>
      </c>
      <c r="H180" s="6"/>
      <c r="I180" s="10"/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1">
        <f t="shared" si="1"/>
        <v>0</v>
      </c>
    </row>
    <row r="181" spans="7:30" ht="24">
      <c r="G181" s="9">
        <v>167</v>
      </c>
      <c r="H181" s="6"/>
      <c r="I181" s="10"/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1">
        <f t="shared" si="1"/>
        <v>0</v>
      </c>
    </row>
    <row r="182" spans="7:30" ht="24">
      <c r="G182" s="9">
        <v>168</v>
      </c>
      <c r="H182" s="6"/>
      <c r="I182" s="10"/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1">
        <f t="shared" si="1"/>
        <v>0</v>
      </c>
    </row>
    <row r="183" spans="7:30" ht="24">
      <c r="G183" s="9">
        <v>169</v>
      </c>
      <c r="H183" s="6"/>
      <c r="I183" s="10"/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1">
        <f t="shared" si="1"/>
        <v>0</v>
      </c>
    </row>
    <row r="184" spans="7:30" ht="24">
      <c r="G184" s="9">
        <v>170</v>
      </c>
      <c r="H184" s="6"/>
      <c r="I184" s="10"/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1">
        <f t="shared" si="1"/>
        <v>0</v>
      </c>
    </row>
    <row r="185" spans="7:30" ht="24">
      <c r="G185" s="9">
        <v>171</v>
      </c>
      <c r="H185" s="6"/>
      <c r="I185" s="10"/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1">
        <f t="shared" si="1"/>
        <v>0</v>
      </c>
    </row>
    <row r="186" spans="7:30" ht="24">
      <c r="G186" s="9">
        <v>172</v>
      </c>
      <c r="H186" s="6"/>
      <c r="I186" s="10"/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1">
        <f t="shared" si="1"/>
        <v>0</v>
      </c>
    </row>
    <row r="187" spans="7:30" ht="24">
      <c r="G187" s="9">
        <v>173</v>
      </c>
      <c r="H187" s="6"/>
      <c r="I187" s="10"/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1">
        <f t="shared" si="1"/>
        <v>0</v>
      </c>
    </row>
    <row r="188" spans="7:30" ht="24">
      <c r="G188" s="9">
        <v>174</v>
      </c>
      <c r="H188" s="6"/>
      <c r="I188" s="10"/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1">
        <f t="shared" si="1"/>
        <v>0</v>
      </c>
    </row>
    <row r="189" spans="7:30" ht="24">
      <c r="G189" s="9">
        <v>175</v>
      </c>
      <c r="H189" s="6"/>
      <c r="I189" s="10"/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1">
        <f t="shared" si="1"/>
        <v>0</v>
      </c>
    </row>
    <row r="190" spans="7:30" ht="24">
      <c r="G190" s="9">
        <v>176</v>
      </c>
      <c r="H190" s="6"/>
      <c r="I190" s="10"/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1">
        <f t="shared" si="1"/>
        <v>0</v>
      </c>
    </row>
    <row r="191" spans="7:30" ht="24">
      <c r="G191" s="9">
        <v>177</v>
      </c>
      <c r="H191" s="6"/>
      <c r="I191" s="10"/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1">
        <f t="shared" si="1"/>
        <v>0</v>
      </c>
    </row>
    <row r="192" spans="7:30" ht="24">
      <c r="G192" s="9">
        <v>178</v>
      </c>
      <c r="H192" s="6"/>
      <c r="I192" s="10"/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1">
        <f t="shared" si="1"/>
        <v>0</v>
      </c>
    </row>
  </sheetData>
  <sortState xmlns:xlrd2="http://schemas.microsoft.com/office/spreadsheetml/2017/richdata2" ref="I15:AD131">
    <sortCondition descending="1" ref="AD15:AD131"/>
  </sortState>
  <mergeCells count="1">
    <mergeCell ref="G5:O5"/>
  </mergeCells>
  <phoneticPr fontId="4" type="noConversion"/>
  <pageMargins left="0.7" right="0.7" top="0.78740157499999996" bottom="0.78740157499999996" header="0.3" footer="0.3"/>
  <pageSetup paperSize="9" orientation="portrait" horizontalDpi="0" verticalDpi="0"/>
  <ignoredErrors>
    <ignoredError sqref="AD26 R21 S24 M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Rangliste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Werle</dc:creator>
  <cp:lastModifiedBy>Artur Haase</cp:lastModifiedBy>
  <dcterms:created xsi:type="dcterms:W3CDTF">2022-08-01T06:08:39Z</dcterms:created>
  <dcterms:modified xsi:type="dcterms:W3CDTF">2022-12-29T18:12:24Z</dcterms:modified>
</cp:coreProperties>
</file>