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haase/Dropbox/German Events GmbH &amp; Co. KG/German Poker Online/"/>
    </mc:Choice>
  </mc:AlternateContent>
  <xr:revisionPtr revIDLastSave="0" documentId="13_ncr:1_{0D334D72-B2A6-5840-AE82-BCC895CB6A11}" xr6:coauthVersionLast="47" xr6:coauthVersionMax="47" xr10:uidLastSave="{00000000-0000-0000-0000-000000000000}"/>
  <bookViews>
    <workbookView xWindow="0" yWindow="500" windowWidth="35840" windowHeight="20880" activeTab="1" xr2:uid="{2D3BBE86-C252-FE49-B42A-316A4BB4BE92}"/>
  </bookViews>
  <sheets>
    <sheet name="Tabelle1" sheetId="2" r:id="rId1"/>
    <sheet name="Rangliste" sheetId="1" r:id="rId2"/>
  </sheets>
  <definedNames>
    <definedName name="A">Rangliste!$AF$16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0" i="1" l="1"/>
  <c r="AF23" i="1"/>
  <c r="AF22" i="1"/>
  <c r="AF21" i="1"/>
  <c r="AF18" i="1"/>
  <c r="AF19" i="1"/>
  <c r="AF17" i="1"/>
  <c r="AF16" i="1"/>
  <c r="AF15" i="1"/>
  <c r="AE50" i="1"/>
  <c r="AE33" i="1"/>
  <c r="AE43" i="1"/>
  <c r="AE46" i="1"/>
  <c r="AE49" i="1"/>
  <c r="AF49" i="1" s="1"/>
  <c r="AE48" i="1"/>
  <c r="AE31" i="1"/>
  <c r="AE25" i="1"/>
  <c r="AE54" i="1"/>
  <c r="AE38" i="1"/>
  <c r="AE17" i="1"/>
  <c r="AE20" i="1"/>
  <c r="AE72" i="1"/>
  <c r="AE71" i="1"/>
  <c r="AE90" i="1"/>
  <c r="AE18" i="1"/>
  <c r="AE21" i="1"/>
  <c r="AE111" i="1"/>
  <c r="AE16" i="1"/>
  <c r="AE154" i="1"/>
  <c r="AE153" i="1"/>
  <c r="AE152" i="1"/>
  <c r="AE151" i="1"/>
  <c r="AE150" i="1"/>
  <c r="AE149" i="1"/>
  <c r="AF71" i="1"/>
  <c r="AF72" i="1"/>
  <c r="AF54" i="1"/>
  <c r="AF48" i="1"/>
  <c r="AF46" i="1"/>
  <c r="AF43" i="1"/>
  <c r="AF50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D198" i="1" l="1"/>
  <c r="AD197" i="1"/>
  <c r="AD38" i="1"/>
  <c r="AD32" i="1"/>
  <c r="AD28" i="1"/>
  <c r="AD37" i="1"/>
  <c r="AD95" i="1"/>
  <c r="AD126" i="1"/>
  <c r="AD15" i="1"/>
  <c r="AD19" i="1"/>
  <c r="AD115" i="1"/>
  <c r="AD23" i="1"/>
  <c r="AD22" i="1"/>
  <c r="AD18" i="1"/>
  <c r="AD20" i="1"/>
  <c r="AD51" i="1"/>
  <c r="AD25" i="1"/>
  <c r="AD31" i="1"/>
  <c r="AD24" i="1"/>
  <c r="AD53" i="1"/>
  <c r="AC25" i="1"/>
  <c r="AC31" i="1"/>
  <c r="AC21" i="1"/>
  <c r="J19" i="1"/>
  <c r="AC19" i="1"/>
  <c r="AC108" i="1"/>
  <c r="AF108" i="1" s="1"/>
  <c r="AC23" i="1"/>
  <c r="AC16" i="1"/>
  <c r="AC87" i="1"/>
  <c r="AC107" i="1"/>
  <c r="AC32" i="1"/>
  <c r="AC28" i="1"/>
  <c r="AC20" i="1"/>
  <c r="AC131" i="1"/>
  <c r="AC130" i="1"/>
  <c r="AF130" i="1" s="1"/>
  <c r="AC38" i="1"/>
  <c r="AC89" i="1"/>
  <c r="AC167" i="1"/>
  <c r="AC166" i="1"/>
  <c r="AF166" i="1" s="1"/>
  <c r="AC53" i="1"/>
  <c r="AF167" i="1"/>
  <c r="AF131" i="1"/>
  <c r="AF107" i="1"/>
  <c r="AF115" i="1"/>
  <c r="AF126" i="1"/>
  <c r="AF197" i="1"/>
  <c r="AF198" i="1"/>
  <c r="AF149" i="1"/>
  <c r="AF150" i="1"/>
  <c r="AF151" i="1"/>
  <c r="AF152" i="1"/>
  <c r="AF153" i="1"/>
  <c r="AF154" i="1"/>
  <c r="AF111" i="1"/>
  <c r="AF90" i="1"/>
  <c r="AF105" i="1"/>
  <c r="AF106" i="1"/>
  <c r="AF114" i="1"/>
  <c r="AB20" i="1"/>
  <c r="U34" i="1"/>
  <c r="AB16" i="1"/>
  <c r="AB60" i="1" l="1"/>
  <c r="AB23" i="1"/>
  <c r="AB24" i="1"/>
  <c r="AB19" i="1"/>
  <c r="AB44" i="1"/>
  <c r="AB110" i="1"/>
  <c r="AF110" i="1" s="1"/>
  <c r="AB53" i="1"/>
  <c r="AF53" i="1" s="1"/>
  <c r="AB139" i="1"/>
  <c r="AF139" i="1" s="1"/>
  <c r="AB32" i="1"/>
  <c r="AB138" i="1"/>
  <c r="AF138" i="1" s="1"/>
  <c r="AB28" i="1"/>
  <c r="AA23" i="1" l="1"/>
  <c r="AA19" i="1"/>
  <c r="AA17" i="1"/>
  <c r="AA22" i="1"/>
  <c r="AA24" i="1"/>
  <c r="AA16" i="1"/>
  <c r="AA20" i="1"/>
  <c r="AA26" i="1"/>
  <c r="AA21" i="1"/>
  <c r="AA59" i="1"/>
  <c r="AA123" i="1"/>
  <c r="AF123" i="1" s="1"/>
  <c r="AA96" i="1"/>
  <c r="AA144" i="1"/>
  <c r="AF144" i="1" s="1"/>
  <c r="AA28" i="1"/>
  <c r="AA83" i="1"/>
  <c r="AA32" i="1"/>
  <c r="AA37" i="1"/>
  <c r="L17" i="1"/>
  <c r="Z20" i="1"/>
  <c r="Z161" i="1"/>
  <c r="AF161" i="1" s="1"/>
  <c r="Z28" i="1"/>
  <c r="Z37" i="1"/>
  <c r="Z169" i="1"/>
  <c r="AF169" i="1" s="1"/>
  <c r="Z168" i="1"/>
  <c r="AF168" i="1" s="1"/>
  <c r="V24" i="1"/>
  <c r="W17" i="1"/>
  <c r="Y24" i="1"/>
  <c r="X24" i="1"/>
  <c r="W24" i="1"/>
  <c r="U24" i="1"/>
  <c r="Q24" i="1"/>
  <c r="Q15" i="1"/>
  <c r="Q16" i="1"/>
  <c r="T20" i="1"/>
  <c r="T23" i="1"/>
  <c r="T22" i="1"/>
  <c r="T24" i="1" l="1"/>
  <c r="S24" i="1"/>
  <c r="AF24" i="1" s="1"/>
  <c r="Y21" i="1"/>
  <c r="Y63" i="1"/>
  <c r="AF63" i="1" s="1"/>
  <c r="N17" i="1"/>
  <c r="Y17" i="1"/>
  <c r="Y82" i="1"/>
  <c r="AF82" i="1" s="1"/>
  <c r="Y65" i="1"/>
  <c r="Y94" i="1"/>
  <c r="AF94" i="1" s="1"/>
  <c r="Y23" i="1"/>
  <c r="Y93" i="1"/>
  <c r="AF93" i="1" s="1"/>
  <c r="Y104" i="1"/>
  <c r="AF104" i="1" s="1"/>
  <c r="Y103" i="1"/>
  <c r="AF103" i="1" s="1"/>
  <c r="Y102" i="1"/>
  <c r="AF102" i="1" s="1"/>
  <c r="Y40" i="1"/>
  <c r="Y26" i="1"/>
  <c r="Y20" i="1"/>
  <c r="Y135" i="1"/>
  <c r="Y157" i="1"/>
  <c r="AF157" i="1" s="1"/>
  <c r="Y75" i="1"/>
  <c r="Y32" i="1"/>
  <c r="Y22" i="1"/>
  <c r="Y37" i="1"/>
  <c r="Y28" i="1"/>
  <c r="Y16" i="1"/>
  <c r="Y191" i="1"/>
  <c r="AF191" i="1" s="1"/>
  <c r="Y19" i="1"/>
  <c r="X40" i="1"/>
  <c r="X20" i="1"/>
  <c r="X91" i="1"/>
  <c r="AF91" i="1" s="1"/>
  <c r="X23" i="1"/>
  <c r="X97" i="1"/>
  <c r="AF97" i="1" s="1"/>
  <c r="X21" i="1"/>
  <c r="X16" i="1"/>
  <c r="X36" i="1"/>
  <c r="X19" i="1"/>
  <c r="X26" i="1"/>
  <c r="X17" i="1"/>
  <c r="X119" i="1"/>
  <c r="AF119" i="1" s="1"/>
  <c r="X118" i="1"/>
  <c r="AF118" i="1" s="1"/>
  <c r="X95" i="1"/>
  <c r="AF95" i="1" s="1"/>
  <c r="X137" i="1"/>
  <c r="AF137" i="1" s="1"/>
  <c r="X163" i="1"/>
  <c r="AF163" i="1" s="1"/>
  <c r="X162" i="1"/>
  <c r="AF162" i="1" s="1"/>
  <c r="X194" i="1"/>
  <c r="AF194" i="1" s="1"/>
  <c r="X32" i="1"/>
  <c r="X37" i="1"/>
  <c r="X85" i="1"/>
  <c r="W21" i="1"/>
  <c r="W16" i="1"/>
  <c r="W112" i="1"/>
  <c r="AF112" i="1" s="1"/>
  <c r="W40" i="1"/>
  <c r="W38" i="1"/>
  <c r="AF38" i="1" s="1"/>
  <c r="W23" i="1"/>
  <c r="W20" i="1"/>
  <c r="W122" i="1"/>
  <c r="AF122" i="1" s="1"/>
  <c r="W121" i="1"/>
  <c r="AF121" i="1" s="1"/>
  <c r="W120" i="1"/>
  <c r="AF120" i="1" s="1"/>
  <c r="W32" i="1"/>
  <c r="W37" i="1"/>
  <c r="W28" i="1"/>
  <c r="W87" i="1"/>
  <c r="AF87" i="1" s="1"/>
  <c r="W170" i="1"/>
  <c r="AF170" i="1" s="1"/>
  <c r="U57" i="1" l="1"/>
  <c r="AF57" i="1" s="1"/>
  <c r="U68" i="1"/>
  <c r="AF68" i="1" s="1"/>
  <c r="U51" i="1"/>
  <c r="AF51" i="1" s="1"/>
  <c r="U19" i="1"/>
  <c r="U18" i="1"/>
  <c r="U16" i="1"/>
  <c r="U39" i="1"/>
  <c r="U15" i="1"/>
  <c r="U42" i="1"/>
  <c r="U23" i="1"/>
  <c r="U21" i="1"/>
  <c r="U20" i="1"/>
  <c r="U64" i="1"/>
  <c r="U22" i="1"/>
  <c r="U17" i="1"/>
  <c r="U143" i="1"/>
  <c r="AF143" i="1" s="1"/>
  <c r="U142" i="1"/>
  <c r="AF142" i="1" s="1"/>
  <c r="U178" i="1"/>
  <c r="AF178" i="1" s="1"/>
  <c r="U145" i="1"/>
  <c r="U177" i="1"/>
  <c r="AF177" i="1" s="1"/>
  <c r="U30" i="1"/>
  <c r="U28" i="1"/>
  <c r="U37" i="1"/>
  <c r="U176" i="1"/>
  <c r="AF176" i="1" s="1"/>
  <c r="T30" i="1"/>
  <c r="T45" i="1"/>
  <c r="T16" i="1"/>
  <c r="T15" i="1"/>
  <c r="T18" i="1"/>
  <c r="T19" i="1"/>
  <c r="T17" i="1"/>
  <c r="T34" i="1"/>
  <c r="T64" i="1"/>
  <c r="AF64" i="1" s="1"/>
  <c r="T129" i="1"/>
  <c r="AF129" i="1" s="1"/>
  <c r="T128" i="1"/>
  <c r="AF128" i="1" s="1"/>
  <c r="T148" i="1"/>
  <c r="AF148" i="1" s="1"/>
  <c r="T31" i="1"/>
  <c r="AF31" i="1" s="1"/>
  <c r="T184" i="1"/>
  <c r="AF184" i="1" s="1"/>
  <c r="T32" i="1"/>
  <c r="T27" i="1"/>
  <c r="T145" i="1"/>
  <c r="T28" i="1"/>
  <c r="T37" i="1"/>
  <c r="T133" i="1"/>
  <c r="S73" i="1"/>
  <c r="AF73" i="1" s="1"/>
  <c r="S19" i="1"/>
  <c r="S23" i="1"/>
  <c r="S77" i="1"/>
  <c r="S16" i="1"/>
  <c r="S30" i="1"/>
  <c r="S22" i="1"/>
  <c r="S21" i="1"/>
  <c r="S133" i="1"/>
  <c r="S18" i="1"/>
  <c r="S67" i="1"/>
  <c r="S17" i="1"/>
  <c r="S15" i="1"/>
  <c r="S41" i="1"/>
  <c r="S86" i="1"/>
  <c r="S136" i="1"/>
  <c r="AF136" i="1" s="1"/>
  <c r="S65" i="1"/>
  <c r="AF65" i="1" s="1"/>
  <c r="S28" i="1"/>
  <c r="S37" i="1"/>
  <c r="S32" i="1"/>
  <c r="S158" i="1"/>
  <c r="S59" i="1"/>
  <c r="R56" i="1"/>
  <c r="R193" i="1"/>
  <c r="AF193" i="1" s="1"/>
  <c r="R192" i="1"/>
  <c r="AF192" i="1" s="1"/>
  <c r="R159" i="1"/>
  <c r="AF159" i="1" s="1"/>
  <c r="R42" i="1"/>
  <c r="AF42" i="1" s="1"/>
  <c r="R16" i="1"/>
  <c r="R19" i="1"/>
  <c r="R22" i="1"/>
  <c r="R18" i="1"/>
  <c r="R15" i="1"/>
  <c r="R29" i="1"/>
  <c r="R33" i="1"/>
  <c r="AF33" i="1" s="1"/>
  <c r="R20" i="1"/>
  <c r="R21" i="1"/>
  <c r="R23" i="1"/>
  <c r="R17" i="1"/>
  <c r="R67" i="1"/>
  <c r="AF67" i="1" s="1"/>
  <c r="R134" i="1"/>
  <c r="AF134" i="1" s="1"/>
  <c r="R26" i="1"/>
  <c r="R160" i="1"/>
  <c r="AF160" i="1" s="1"/>
  <c r="R77" i="1"/>
  <c r="R83" i="1"/>
  <c r="AF83" i="1" s="1"/>
  <c r="R37" i="1"/>
  <c r="R32" i="1"/>
  <c r="Q22" i="1"/>
  <c r="Q39" i="1"/>
  <c r="AF39" i="1" s="1"/>
  <c r="Q26" i="1"/>
  <c r="Q41" i="1"/>
  <c r="Q17" i="1"/>
  <c r="Q84" i="1"/>
  <c r="Q23" i="1"/>
  <c r="Q21" i="1"/>
  <c r="Q18" i="1"/>
  <c r="Q20" i="1"/>
  <c r="Q124" i="1"/>
  <c r="AF124" i="1" s="1"/>
  <c r="Q116" i="1"/>
  <c r="Q140" i="1"/>
  <c r="AF140" i="1" s="1"/>
  <c r="Q165" i="1"/>
  <c r="AF165" i="1" s="1"/>
  <c r="Q32" i="1"/>
  <c r="Q37" i="1"/>
  <c r="Q196" i="1"/>
  <c r="AF196" i="1" s="1"/>
  <c r="Q195" i="1"/>
  <c r="AF195" i="1" s="1"/>
  <c r="P135" i="1"/>
  <c r="AF135" i="1" s="1"/>
  <c r="P76" i="1"/>
  <c r="AF76" i="1" s="1"/>
  <c r="P22" i="1"/>
  <c r="P15" i="1"/>
  <c r="P17" i="1"/>
  <c r="P21" i="1"/>
  <c r="P20" i="1"/>
  <c r="P30" i="1"/>
  <c r="P18" i="1"/>
  <c r="P34" i="1"/>
  <c r="P16" i="1"/>
  <c r="P27" i="1"/>
  <c r="P55" i="1"/>
  <c r="P23" i="1"/>
  <c r="P32" i="1"/>
  <c r="P37" i="1"/>
  <c r="P35" i="1"/>
  <c r="P164" i="1"/>
  <c r="AF164" i="1" s="1"/>
  <c r="P69" i="1"/>
  <c r="P28" i="1"/>
  <c r="P109" i="1"/>
  <c r="O19" i="1"/>
  <c r="O41" i="1"/>
  <c r="AF41" i="1" s="1"/>
  <c r="O62" i="1"/>
  <c r="O23" i="1"/>
  <c r="O26" i="1"/>
  <c r="O15" i="1"/>
  <c r="O22" i="1"/>
  <c r="O17" i="1"/>
  <c r="O55" i="1"/>
  <c r="AF55" i="1" s="1"/>
  <c r="O47" i="1"/>
  <c r="O18" i="1"/>
  <c r="O27" i="1"/>
  <c r="O56" i="1"/>
  <c r="O16" i="1"/>
  <c r="O132" i="1"/>
  <c r="AF132" i="1" s="1"/>
  <c r="O35" i="1"/>
  <c r="O96" i="1"/>
  <c r="AF96" i="1" s="1"/>
  <c r="O58" i="1"/>
  <c r="O70" i="1"/>
  <c r="O37" i="1"/>
  <c r="O28" i="1"/>
  <c r="O190" i="1"/>
  <c r="AF190" i="1" s="1"/>
  <c r="O189" i="1"/>
  <c r="AF189" i="1" s="1"/>
  <c r="O79" i="1"/>
  <c r="N59" i="1"/>
  <c r="AF59" i="1" s="1"/>
  <c r="N101" i="1"/>
  <c r="AF101" i="1" s="1"/>
  <c r="N22" i="1"/>
  <c r="N15" i="1"/>
  <c r="N74" i="1"/>
  <c r="AF74" i="1" s="1"/>
  <c r="N75" i="1"/>
  <c r="AF75" i="1" s="1"/>
  <c r="N30" i="1"/>
  <c r="N21" i="1"/>
  <c r="N85" i="1"/>
  <c r="AF85" i="1" s="1"/>
  <c r="N27" i="1"/>
  <c r="N16" i="1"/>
  <c r="N18" i="1"/>
  <c r="N89" i="1"/>
  <c r="AF89" i="1" s="1"/>
  <c r="N47" i="1"/>
  <c r="N20" i="1"/>
  <c r="N156" i="1"/>
  <c r="AF156" i="1" s="1"/>
  <c r="N79" i="1"/>
  <c r="N28" i="1"/>
  <c r="N56" i="1"/>
  <c r="N188" i="1"/>
  <c r="AF188" i="1" s="1"/>
  <c r="N100" i="1"/>
  <c r="N37" i="1"/>
  <c r="N35" i="1"/>
  <c r="N109" i="1"/>
  <c r="M66" i="1"/>
  <c r="AF66" i="1" s="1"/>
  <c r="M45" i="1"/>
  <c r="AF45" i="1" s="1"/>
  <c r="M16" i="1"/>
  <c r="M15" i="1"/>
  <c r="M19" i="1"/>
  <c r="M29" i="1"/>
  <c r="M88" i="1"/>
  <c r="AF88" i="1" s="1"/>
  <c r="M36" i="1"/>
  <c r="AF36" i="1" s="1"/>
  <c r="M18" i="1"/>
  <c r="M21" i="1"/>
  <c r="M60" i="1"/>
  <c r="AF60" i="1" s="1"/>
  <c r="M52" i="1"/>
  <c r="M22" i="1"/>
  <c r="M69" i="1"/>
  <c r="AF69" i="1" s="1"/>
  <c r="M125" i="1"/>
  <c r="AF125" i="1" s="1"/>
  <c r="M79" i="1"/>
  <c r="M26" i="1"/>
  <c r="M146" i="1"/>
  <c r="AF146" i="1" s="1"/>
  <c r="M180" i="1"/>
  <c r="AF180" i="1" s="1"/>
  <c r="M32" i="1"/>
  <c r="M84" i="1"/>
  <c r="M28" i="1"/>
  <c r="M179" i="1"/>
  <c r="AF179" i="1" s="1"/>
  <c r="M25" i="1"/>
  <c r="M70" i="1"/>
  <c r="AF133" i="1" l="1"/>
  <c r="AF145" i="1"/>
  <c r="AF84" i="1"/>
  <c r="AF30" i="1"/>
  <c r="AF56" i="1"/>
  <c r="L61" i="1"/>
  <c r="AF61" i="1" s="1"/>
  <c r="L29" i="1"/>
  <c r="L15" i="1"/>
  <c r="L58" i="1"/>
  <c r="AF58" i="1" s="1"/>
  <c r="L35" i="1"/>
  <c r="AF35" i="1" s="1"/>
  <c r="L92" i="1"/>
  <c r="AF92" i="1" s="1"/>
  <c r="L44" i="1"/>
  <c r="L40" i="1"/>
  <c r="AF40" i="1" s="1"/>
  <c r="L16" i="1"/>
  <c r="L18" i="1"/>
  <c r="L21" i="1"/>
  <c r="L113" i="1"/>
  <c r="AF113" i="1" s="1"/>
  <c r="L19" i="1"/>
  <c r="L20" i="1"/>
  <c r="L22" i="1"/>
  <c r="L155" i="1"/>
  <c r="AF155" i="1" s="1"/>
  <c r="L28" i="1"/>
  <c r="L37" i="1"/>
  <c r="L78" i="1"/>
  <c r="L187" i="1"/>
  <c r="AF187" i="1" s="1"/>
  <c r="L186" i="1"/>
  <c r="AF186" i="1" s="1"/>
  <c r="L185" i="1"/>
  <c r="AF185" i="1" s="1"/>
  <c r="L62" i="1"/>
  <c r="AF62" i="1" s="1"/>
  <c r="L79" i="1"/>
  <c r="AF79" i="1" s="1"/>
  <c r="K15" i="1" l="1"/>
  <c r="K17" i="1"/>
  <c r="K44" i="1"/>
  <c r="AF44" i="1" s="1"/>
  <c r="K70" i="1"/>
  <c r="AF70" i="1" s="1"/>
  <c r="K19" i="1"/>
  <c r="K78" i="1"/>
  <c r="AF78" i="1" s="1"/>
  <c r="K18" i="1"/>
  <c r="K99" i="1"/>
  <c r="AF99" i="1" s="1"/>
  <c r="K16" i="1"/>
  <c r="K98" i="1"/>
  <c r="J98" i="1"/>
  <c r="AF98" i="1" s="1"/>
  <c r="K34" i="1"/>
  <c r="AF34" i="1" s="1"/>
  <c r="K100" i="1"/>
  <c r="AF100" i="1" s="1"/>
  <c r="K127" i="1"/>
  <c r="AF127" i="1" s="1"/>
  <c r="K86" i="1"/>
  <c r="AF86" i="1" s="1"/>
  <c r="K147" i="1"/>
  <c r="AF147" i="1" s="1"/>
  <c r="K29" i="1"/>
  <c r="K37" i="1"/>
  <c r="AF37" i="1" s="1"/>
  <c r="K32" i="1"/>
  <c r="AF32" i="1" s="1"/>
  <c r="K77" i="1"/>
  <c r="AF77" i="1" s="1"/>
  <c r="K183" i="1"/>
  <c r="AF183" i="1" s="1"/>
  <c r="K182" i="1"/>
  <c r="AF182" i="1" s="1"/>
  <c r="K158" i="1"/>
  <c r="AF158" i="1" s="1"/>
  <c r="K181" i="1"/>
  <c r="AF181" i="1" s="1"/>
  <c r="J15" i="1" l="1"/>
  <c r="J16" i="1"/>
  <c r="J27" i="1"/>
  <c r="AF27" i="1" s="1"/>
  <c r="J17" i="1"/>
  <c r="J80" i="1"/>
  <c r="AF80" i="1" s="1"/>
  <c r="J20" i="1"/>
  <c r="J81" i="1"/>
  <c r="AF81" i="1" s="1"/>
  <c r="J18" i="1"/>
  <c r="J25" i="1"/>
  <c r="AF25" i="1" s="1"/>
  <c r="J29" i="1"/>
  <c r="AF29" i="1" s="1"/>
  <c r="J52" i="1"/>
  <c r="AF52" i="1" s="1"/>
  <c r="J47" i="1"/>
  <c r="AF47" i="1" s="1"/>
  <c r="J26" i="1"/>
  <c r="AF26" i="1" s="1"/>
  <c r="J117" i="1"/>
  <c r="AF117" i="1" s="1"/>
  <c r="J141" i="1"/>
  <c r="AF141" i="1" s="1"/>
  <c r="J109" i="1"/>
  <c r="AF109" i="1" s="1"/>
  <c r="J171" i="1"/>
  <c r="AF171" i="1" s="1"/>
  <c r="J28" i="1"/>
  <c r="AF28" i="1" s="1"/>
  <c r="J172" i="1"/>
  <c r="AF172" i="1" s="1"/>
  <c r="J173" i="1"/>
  <c r="AF173" i="1" s="1"/>
  <c r="J174" i="1"/>
  <c r="AF174" i="1" s="1"/>
  <c r="J175" i="1"/>
  <c r="AF175" i="1" s="1"/>
  <c r="J116" i="1"/>
  <c r="AF116" i="1" s="1"/>
</calcChain>
</file>

<file path=xl/sharedStrings.xml><?xml version="1.0" encoding="utf-8"?>
<sst xmlns="http://schemas.openxmlformats.org/spreadsheetml/2006/main" count="258" uniqueCount="249">
  <si>
    <t>Spieler Name</t>
  </si>
  <si>
    <t>Junimond</t>
  </si>
  <si>
    <t>HappyFunnyGuy</t>
  </si>
  <si>
    <t>PEWlasergunPEW</t>
  </si>
  <si>
    <t>Tschuenni</t>
  </si>
  <si>
    <t>De Paelzer</t>
  </si>
  <si>
    <t>quitschibu1984</t>
  </si>
  <si>
    <t>GeeBee</t>
  </si>
  <si>
    <t>Platzierung</t>
  </si>
  <si>
    <t>Gesamtpunktzahl</t>
  </si>
  <si>
    <t>Ciwan1409</t>
  </si>
  <si>
    <t>PUNKTE</t>
  </si>
  <si>
    <t>tomaldinjo199</t>
  </si>
  <si>
    <t>Hackboulette</t>
  </si>
  <si>
    <t>Fungysek74</t>
  </si>
  <si>
    <t>250 Punkte</t>
  </si>
  <si>
    <t>Angelinawg</t>
  </si>
  <si>
    <t>KKingsman77</t>
  </si>
  <si>
    <t>300 Punkte</t>
  </si>
  <si>
    <t>1. Spieltag (01.11.)</t>
  </si>
  <si>
    <t>Schandox</t>
  </si>
  <si>
    <t>Bigfoot91</t>
  </si>
  <si>
    <t>LordLexi89</t>
  </si>
  <si>
    <t>wlads89</t>
  </si>
  <si>
    <t>Finnwulfert</t>
  </si>
  <si>
    <t>K101967</t>
  </si>
  <si>
    <t>matrixzz6565</t>
  </si>
  <si>
    <t>FabiDex203</t>
  </si>
  <si>
    <t>TvojeBaba7</t>
  </si>
  <si>
    <t>DoooooDooooo203</t>
  </si>
  <si>
    <t>TheRealDigg4</t>
  </si>
  <si>
    <t>Dave08AKKA</t>
  </si>
  <si>
    <t>ThibaultGS</t>
  </si>
  <si>
    <t>MrChiiips</t>
  </si>
  <si>
    <t>Uviina001</t>
  </si>
  <si>
    <t>IDS-Sieger</t>
  </si>
  <si>
    <t>the_circassian</t>
  </si>
  <si>
    <t>TopperHarley1</t>
  </si>
  <si>
    <t>ReRaise1</t>
  </si>
  <si>
    <t>2.Spieltag (02.11.)</t>
  </si>
  <si>
    <t>3.Spieltag (03.11.)</t>
  </si>
  <si>
    <t>4.Spieltag (06.11.)</t>
  </si>
  <si>
    <t>260 Punkte</t>
  </si>
  <si>
    <t>5.Spieltag (07.11.)</t>
  </si>
  <si>
    <t>6.Spieltag (08.11.)</t>
  </si>
  <si>
    <t>QT_diamond1976</t>
  </si>
  <si>
    <t>25 (1 %)</t>
  </si>
  <si>
    <t>24 (1 %)</t>
  </si>
  <si>
    <t>buerpoker</t>
  </si>
  <si>
    <t>23 (1 %)</t>
  </si>
  <si>
    <t>Pavar69</t>
  </si>
  <si>
    <t>22 (1 %)</t>
  </si>
  <si>
    <t>Funkycvrk</t>
  </si>
  <si>
    <t>21 (1 %)</t>
  </si>
  <si>
    <t>20 (1 %)</t>
  </si>
  <si>
    <t>19 (1 %)</t>
  </si>
  <si>
    <t>18 (2 %)</t>
  </si>
  <si>
    <t>Teckel1909</t>
  </si>
  <si>
    <t>17 (2 %)</t>
  </si>
  <si>
    <t>Doncarpone</t>
  </si>
  <si>
    <t>16 (3 %)</t>
  </si>
  <si>
    <t>Krysss9</t>
  </si>
  <si>
    <t>15 (3 %)</t>
  </si>
  <si>
    <t>Shiny_Cakes</t>
  </si>
  <si>
    <t>14 (4 %)</t>
  </si>
  <si>
    <t>Chacha-89</t>
  </si>
  <si>
    <t>13 (4 %)</t>
  </si>
  <si>
    <t>IamJackTen</t>
  </si>
  <si>
    <t>12 (5 %)</t>
  </si>
  <si>
    <t>11 (5 %)</t>
  </si>
  <si>
    <t>ReddyHD</t>
  </si>
  <si>
    <t>10 (5 %)</t>
  </si>
  <si>
    <t>9 (6 %)</t>
  </si>
  <si>
    <t>8 (6 %)</t>
  </si>
  <si>
    <t>MollyBrunson</t>
  </si>
  <si>
    <t>7 (6 %)</t>
  </si>
  <si>
    <t>6 (6 %)</t>
  </si>
  <si>
    <t>5 (6 % )</t>
  </si>
  <si>
    <t>4 (6 %)</t>
  </si>
  <si>
    <t>3 (7 %)</t>
  </si>
  <si>
    <t>2 (8 %)</t>
  </si>
  <si>
    <t>1 (9 %)</t>
  </si>
  <si>
    <t>Gerschl</t>
  </si>
  <si>
    <t>Kim_WWCD</t>
  </si>
  <si>
    <t>KidKessedi84</t>
  </si>
  <si>
    <t>SP09ker</t>
  </si>
  <si>
    <t>Jakarone</t>
  </si>
  <si>
    <t>Youtrz</t>
  </si>
  <si>
    <t>Neff1</t>
  </si>
  <si>
    <t>X_134_9</t>
  </si>
  <si>
    <t>DrawchaserXx99</t>
  </si>
  <si>
    <t>Dangerousdi0</t>
  </si>
  <si>
    <t>loschu</t>
  </si>
  <si>
    <t>asteria 1</t>
  </si>
  <si>
    <t>shorty0026</t>
  </si>
  <si>
    <t>kacsama</t>
  </si>
  <si>
    <t>Gosty-66699</t>
  </si>
  <si>
    <t>anzzleer69</t>
  </si>
  <si>
    <t>Poisn-Cze</t>
  </si>
  <si>
    <t>Nashaa9</t>
  </si>
  <si>
    <t>bordecz696969</t>
  </si>
  <si>
    <t>booksusi</t>
  </si>
  <si>
    <t>Larssp007</t>
  </si>
  <si>
    <t>RU.86</t>
  </si>
  <si>
    <t>Fetzelhofen</t>
  </si>
  <si>
    <t>Blood977</t>
  </si>
  <si>
    <t>270 Punkte</t>
  </si>
  <si>
    <t>AxieInfinity</t>
  </si>
  <si>
    <t>marioschneider1</t>
  </si>
  <si>
    <t>kaliv99</t>
  </si>
  <si>
    <t>GillasOG</t>
  </si>
  <si>
    <t>xxENIGMA4U4Exx</t>
  </si>
  <si>
    <t>Aser01</t>
  </si>
  <si>
    <t>pelasgos</t>
  </si>
  <si>
    <t>Grondlinger</t>
  </si>
  <si>
    <t>thomasnb</t>
  </si>
  <si>
    <t>Herzblatz25</t>
  </si>
  <si>
    <t>Sesilius</t>
  </si>
  <si>
    <t>Wolldroppow66</t>
  </si>
  <si>
    <t>Mathholste</t>
  </si>
  <si>
    <t>Ydshshhzu</t>
  </si>
  <si>
    <t>xxx_mku_xxx</t>
  </si>
  <si>
    <t>210 Punkte</t>
  </si>
  <si>
    <t>7.Spieltag (09.11.)</t>
  </si>
  <si>
    <t>SchMallo21</t>
  </si>
  <si>
    <t>cnxvlk</t>
  </si>
  <si>
    <t>Zocker198199</t>
  </si>
  <si>
    <t>8.Spieltag (10.11.)</t>
  </si>
  <si>
    <t>werty00022</t>
  </si>
  <si>
    <t>Doppelmeister99</t>
  </si>
  <si>
    <t>Candymans</t>
  </si>
  <si>
    <t>X_123_9</t>
  </si>
  <si>
    <t>Official_GG_Gam</t>
  </si>
  <si>
    <t>Uterdiansa</t>
  </si>
  <si>
    <t>240 Punkte</t>
  </si>
  <si>
    <t>09. Spieltag (13.11.)</t>
  </si>
  <si>
    <t>redbull73191007</t>
  </si>
  <si>
    <t>noskillbr</t>
  </si>
  <si>
    <t>SpeedyAA</t>
  </si>
  <si>
    <t>m.chatzi</t>
  </si>
  <si>
    <t>aidowalnusss</t>
  </si>
  <si>
    <t>sonyduisburg47</t>
  </si>
  <si>
    <t>AAStraightKK</t>
  </si>
  <si>
    <t>BM32423</t>
  </si>
  <si>
    <t>230 Punkte</t>
  </si>
  <si>
    <t>10. Spieltag (14.11.)</t>
  </si>
  <si>
    <t>braga279</t>
  </si>
  <si>
    <t>Pius199</t>
  </si>
  <si>
    <t>Poker.king1.0</t>
  </si>
  <si>
    <t>OffToRozvadoff</t>
  </si>
  <si>
    <t>dennishelf</t>
  </si>
  <si>
    <t>Maradona0602</t>
  </si>
  <si>
    <t>StraightMan</t>
  </si>
  <si>
    <t>CheekyCheetah</t>
  </si>
  <si>
    <t>mtibor0315</t>
  </si>
  <si>
    <t>Hufnagler</t>
  </si>
  <si>
    <t>LimpKing23</t>
  </si>
  <si>
    <t>Peterlustig1999</t>
  </si>
  <si>
    <t>RES1SANC3</t>
  </si>
  <si>
    <t>Valtsjok</t>
  </si>
  <si>
    <t>vegeta_44244</t>
  </si>
  <si>
    <t>Cthaman</t>
  </si>
  <si>
    <t>OleMueller112-</t>
  </si>
  <si>
    <t>nabjzgcd7yh</t>
  </si>
  <si>
    <t>smrtibracha</t>
  </si>
  <si>
    <t>200 Punkte</t>
  </si>
  <si>
    <t>KapitanTymu</t>
  </si>
  <si>
    <t>TFTrainer182</t>
  </si>
  <si>
    <t>Fordstar80</t>
  </si>
  <si>
    <t>Natabag</t>
  </si>
  <si>
    <t>11. Spieltag (15.11.)</t>
  </si>
  <si>
    <t>12. Spieltag (16.11.)</t>
  </si>
  <si>
    <t>13. Spieltag (17.11.)</t>
  </si>
  <si>
    <t>14. Spieltag (20.11.)</t>
  </si>
  <si>
    <t>170 Punkte</t>
  </si>
  <si>
    <t>Han1911AA</t>
  </si>
  <si>
    <t>Gaui1986</t>
  </si>
  <si>
    <t>klausi1967</t>
  </si>
  <si>
    <t>maxiarny33</t>
  </si>
  <si>
    <t>Bones11111</t>
  </si>
  <si>
    <t>hierznOFFICIAL</t>
  </si>
  <si>
    <t>Moorfrosch99</t>
  </si>
  <si>
    <t>15.Spieltag (21.11.)</t>
  </si>
  <si>
    <t>220 Punkte</t>
  </si>
  <si>
    <t>Renel</t>
  </si>
  <si>
    <t>KCxx</t>
  </si>
  <si>
    <t>etparadox99</t>
  </si>
  <si>
    <t>TriggDee</t>
  </si>
  <si>
    <t>Ola mesa69</t>
  </si>
  <si>
    <t>Getin003.</t>
  </si>
  <si>
    <t>Holzkopf0815</t>
  </si>
  <si>
    <t>Martbart1313131</t>
  </si>
  <si>
    <t>Dennyboy18</t>
  </si>
  <si>
    <t>lu.king</t>
  </si>
  <si>
    <t>fancast</t>
  </si>
  <si>
    <t>Kivanpenkov</t>
  </si>
  <si>
    <t>Just_Board</t>
  </si>
  <si>
    <t>LoSolomas</t>
  </si>
  <si>
    <t>Pgvholla</t>
  </si>
  <si>
    <t>pokercloud</t>
  </si>
  <si>
    <t>qui gon</t>
  </si>
  <si>
    <t>Thjako</t>
  </si>
  <si>
    <t>16.Spieltag (22.11.)</t>
  </si>
  <si>
    <t>60 Punkte</t>
  </si>
  <si>
    <t>17.Spieltag (23.11.)</t>
  </si>
  <si>
    <t>WalterElsa</t>
  </si>
  <si>
    <t>DonkyElephant</t>
  </si>
  <si>
    <t>Lbernd</t>
  </si>
  <si>
    <t>18. Spieltag (24.11.)</t>
  </si>
  <si>
    <t>nonameguy</t>
  </si>
  <si>
    <t>130 Punkte</t>
  </si>
  <si>
    <t>19. Spieltag (27.11.)</t>
  </si>
  <si>
    <t>Soilman1982</t>
  </si>
  <si>
    <t>SpecSpecial</t>
  </si>
  <si>
    <t>JonnyWishbone1</t>
  </si>
  <si>
    <t>Josef.Dohnal.87</t>
  </si>
  <si>
    <t>siutedseveneigh</t>
  </si>
  <si>
    <t>20. Spieltag (28.11.)</t>
  </si>
  <si>
    <t>190 Punkte</t>
  </si>
  <si>
    <t>21. Spieltag (29.11.)</t>
  </si>
  <si>
    <t>Einlass 18:30; Trattoria Senza Nome; 089 32928218</t>
  </si>
  <si>
    <t>22. Spieltag (30.11.)</t>
  </si>
  <si>
    <t>Hellblauer76</t>
  </si>
  <si>
    <t>Juppimaria</t>
  </si>
  <si>
    <t>local knowall</t>
  </si>
  <si>
    <t>Solidsnake247</t>
  </si>
  <si>
    <t>LoykAA</t>
  </si>
  <si>
    <t>Bassboxx17</t>
  </si>
  <si>
    <t>JamesMahonC</t>
  </si>
  <si>
    <t>Bzn2</t>
  </si>
  <si>
    <t>Betonprobs</t>
  </si>
  <si>
    <t>nobody.007</t>
  </si>
  <si>
    <t>520 Punkte</t>
  </si>
  <si>
    <t>KennyCologne</t>
  </si>
  <si>
    <t>dani_mauro</t>
  </si>
  <si>
    <t>vatuiu91</t>
  </si>
  <si>
    <t>TaxFreeNuts</t>
  </si>
  <si>
    <t>King-Kingz</t>
  </si>
  <si>
    <t>StAAmsi1976</t>
  </si>
  <si>
    <t>Bastiiii0301</t>
  </si>
  <si>
    <t>Malibu_HH1887</t>
  </si>
  <si>
    <t>POKERWOLF666</t>
  </si>
  <si>
    <t>Philinho</t>
  </si>
  <si>
    <t>Pascal017</t>
  </si>
  <si>
    <t>dertubsi</t>
  </si>
  <si>
    <t>El Loco9592</t>
  </si>
  <si>
    <t>Barbarossa</t>
  </si>
  <si>
    <t>Royalblack1991</t>
  </si>
  <si>
    <t>Wicket1978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</si>
</sst>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6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323232"/>
      <name val="Calibri"/>
      <family val="2"/>
      <scheme val="minor"/>
    </font>
    <font>
      <sz val="18"/>
      <color rgb="FF1111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sz val="18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6" borderId="39" applyNumberFormat="0" applyAlignment="0" applyProtection="0"/>
  </cellStyleXfs>
  <cellXfs count="103">
    <xf numFmtId="0" fontId="0" fillId="0" borderId="0" xfId="0"/>
    <xf numFmtId="0" fontId="1" fillId="2" borderId="0" xfId="0" applyFont="1" applyFill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2" fontId="5" fillId="4" borderId="3" xfId="0" applyNumberFormat="1" applyFont="1" applyFill="1" applyBorder="1"/>
    <xf numFmtId="2" fontId="5" fillId="4" borderId="5" xfId="0" applyNumberFormat="1" applyFont="1" applyFill="1" applyBorder="1"/>
    <xf numFmtId="2" fontId="5" fillId="4" borderId="6" xfId="0" applyNumberFormat="1" applyFont="1" applyFill="1" applyBorder="1"/>
    <xf numFmtId="2" fontId="5" fillId="2" borderId="2" xfId="0" applyNumberFormat="1" applyFont="1" applyFill="1" applyBorder="1"/>
    <xf numFmtId="2" fontId="5" fillId="4" borderId="16" xfId="0" applyNumberFormat="1" applyFont="1" applyFill="1" applyBorder="1"/>
    <xf numFmtId="2" fontId="5" fillId="4" borderId="17" xfId="0" applyNumberFormat="1" applyFont="1" applyFill="1" applyBorder="1"/>
    <xf numFmtId="2" fontId="5" fillId="4" borderId="18" xfId="0" applyNumberFormat="1" applyFont="1" applyFill="1" applyBorder="1"/>
    <xf numFmtId="2" fontId="5" fillId="2" borderId="19" xfId="0" applyNumberFormat="1" applyFont="1" applyFill="1" applyBorder="1"/>
    <xf numFmtId="2" fontId="5" fillId="2" borderId="17" xfId="0" applyNumberFormat="1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5" xfId="0" applyNumberFormat="1" applyFont="1" applyBorder="1"/>
    <xf numFmtId="2" fontId="6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21" xfId="0" applyFont="1" applyFill="1" applyBorder="1"/>
    <xf numFmtId="0" fontId="4" fillId="3" borderId="22" xfId="0" applyFont="1" applyFill="1" applyBorder="1"/>
    <xf numFmtId="0" fontId="1" fillId="0" borderId="12" xfId="0" applyFont="1" applyBorder="1"/>
    <xf numFmtId="0" fontId="1" fillId="2" borderId="23" xfId="0" applyFont="1" applyFill="1" applyBorder="1"/>
    <xf numFmtId="0" fontId="8" fillId="2" borderId="24" xfId="0" applyFont="1" applyFill="1" applyBorder="1"/>
    <xf numFmtId="0" fontId="8" fillId="2" borderId="24" xfId="0" applyFont="1" applyFill="1" applyBorder="1" applyAlignment="1">
      <alignment horizontal="center"/>
    </xf>
    <xf numFmtId="0" fontId="0" fillId="0" borderId="25" xfId="0" applyBorder="1"/>
    <xf numFmtId="0" fontId="4" fillId="3" borderId="9" xfId="0" applyFont="1" applyFill="1" applyBorder="1"/>
    <xf numFmtId="0" fontId="3" fillId="3" borderId="10" xfId="0" applyFont="1" applyFill="1" applyBorder="1"/>
    <xf numFmtId="2" fontId="5" fillId="2" borderId="5" xfId="0" applyNumberFormat="1" applyFont="1" applyFill="1" applyBorder="1"/>
    <xf numFmtId="0" fontId="8" fillId="2" borderId="26" xfId="0" applyFont="1" applyFill="1" applyBorder="1" applyAlignment="1">
      <alignment horizontal="center"/>
    </xf>
    <xf numFmtId="0" fontId="3" fillId="3" borderId="27" xfId="0" applyFont="1" applyFill="1" applyBorder="1"/>
    <xf numFmtId="2" fontId="5" fillId="4" borderId="2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0" fontId="5" fillId="5" borderId="11" xfId="0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4" borderId="31" xfId="0" applyNumberFormat="1" applyFont="1" applyFill="1" applyBorder="1" applyAlignment="1">
      <alignment horizontal="center"/>
    </xf>
    <xf numFmtId="2" fontId="5" fillId="4" borderId="19" xfId="0" applyNumberFormat="1" applyFont="1" applyFill="1" applyBorder="1"/>
    <xf numFmtId="2" fontId="5" fillId="0" borderId="17" xfId="0" applyNumberFormat="1" applyFont="1" applyBorder="1"/>
    <xf numFmtId="2" fontId="5" fillId="2" borderId="18" xfId="0" applyNumberFormat="1" applyFont="1" applyFill="1" applyBorder="1"/>
    <xf numFmtId="2" fontId="5" fillId="0" borderId="8" xfId="0" applyNumberFormat="1" applyFont="1" applyBorder="1"/>
    <xf numFmtId="2" fontId="5" fillId="0" borderId="6" xfId="0" applyNumberFormat="1" applyFont="1" applyBorder="1"/>
    <xf numFmtId="0" fontId="7" fillId="0" borderId="0" xfId="0" applyFont="1"/>
    <xf numFmtId="2" fontId="9" fillId="4" borderId="1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9" fillId="4" borderId="29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left"/>
    </xf>
    <xf numFmtId="0" fontId="0" fillId="2" borderId="0" xfId="0" applyFill="1"/>
    <xf numFmtId="0" fontId="10" fillId="0" borderId="0" xfId="0" applyFont="1"/>
    <xf numFmtId="0" fontId="11" fillId="0" borderId="0" xfId="0" applyFont="1"/>
    <xf numFmtId="0" fontId="0" fillId="3" borderId="0" xfId="0" applyFill="1"/>
    <xf numFmtId="2" fontId="5" fillId="2" borderId="2" xfId="0" applyNumberFormat="1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7" fillId="0" borderId="0" xfId="0" applyFont="1"/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5" fillId="0" borderId="1" xfId="1" applyFont="1" applyBorder="1"/>
    <xf numFmtId="2" fontId="5" fillId="0" borderId="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0" xfId="0" applyNumberFormat="1" applyFont="1" applyBorder="1"/>
    <xf numFmtId="2" fontId="5" fillId="2" borderId="34" xfId="0" applyNumberFormat="1" applyFont="1" applyFill="1" applyBorder="1" applyAlignment="1">
      <alignment horizontal="center"/>
    </xf>
    <xf numFmtId="0" fontId="3" fillId="3" borderId="38" xfId="0" applyFont="1" applyFill="1" applyBorder="1"/>
    <xf numFmtId="0" fontId="8" fillId="2" borderId="7" xfId="0" applyFont="1" applyFill="1" applyBorder="1" applyAlignment="1">
      <alignment horizontal="center"/>
    </xf>
    <xf numFmtId="2" fontId="5" fillId="2" borderId="36" xfId="0" applyNumberFormat="1" applyFont="1" applyFill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0" fontId="5" fillId="0" borderId="1" xfId="0" applyFont="1" applyBorder="1"/>
    <xf numFmtId="0" fontId="3" fillId="3" borderId="40" xfId="0" applyFont="1" applyFill="1" applyBorder="1"/>
    <xf numFmtId="0" fontId="3" fillId="3" borderId="24" xfId="0" applyFont="1" applyFill="1" applyBorder="1"/>
    <xf numFmtId="0" fontId="8" fillId="2" borderId="38" xfId="0" applyFont="1" applyFill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15" fillId="0" borderId="39" xfId="2" applyNumberFormat="1" applyFont="1" applyFill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2" fontId="15" fillId="0" borderId="37" xfId="2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2" fontId="14" fillId="0" borderId="37" xfId="2" applyNumberFormat="1" applyFont="1" applyFill="1" applyBorder="1" applyAlignment="1">
      <alignment horizontal="center"/>
    </xf>
    <xf numFmtId="0" fontId="7" fillId="0" borderId="0" xfId="0" applyFont="1"/>
    <xf numFmtId="2" fontId="8" fillId="4" borderId="33" xfId="0" applyNumberFormat="1" applyFont="1" applyFill="1" applyBorder="1" applyAlignment="1">
      <alignment horizontal="center"/>
    </xf>
    <xf numFmtId="2" fontId="8" fillId="4" borderId="34" xfId="0" applyNumberFormat="1" applyFont="1" applyFill="1" applyBorder="1" applyAlignment="1">
      <alignment horizontal="center"/>
    </xf>
    <xf numFmtId="2" fontId="8" fillId="4" borderId="35" xfId="0" applyNumberFormat="1" applyFont="1" applyFill="1" applyBorder="1" applyAlignment="1">
      <alignment horizontal="center"/>
    </xf>
    <xf numFmtId="2" fontId="5" fillId="0" borderId="3" xfId="0" applyNumberFormat="1" applyFont="1" applyBorder="1"/>
    <xf numFmtId="2" fontId="5" fillId="0" borderId="28" xfId="0" applyNumberFormat="1" applyFont="1" applyBorder="1" applyAlignment="1">
      <alignment horizontal="center"/>
    </xf>
    <xf numFmtId="2" fontId="15" fillId="0" borderId="1" xfId="2" applyNumberFormat="1" applyFont="1" applyFill="1" applyBorder="1" applyAlignment="1">
      <alignment horizontal="center"/>
    </xf>
    <xf numFmtId="2" fontId="5" fillId="0" borderId="39" xfId="0" applyNumberFormat="1" applyFont="1" applyBorder="1" applyAlignment="1">
      <alignment horizontal="center"/>
    </xf>
  </cellXfs>
  <cellStyles count="3">
    <cellStyle name="Ausgabe" xfId="2" builtinId="21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e.sharkscope.com/" TargetMode="External"/><Relationship Id="rId1" Type="http://schemas.openxmlformats.org/officeDocument/2006/relationships/hyperlink" Target="https://de.sharkscop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9744-D1BC-C347-B697-B086DC2AB1DD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CAF5-410A-BF4F-8E60-055C05414DD4}">
  <dimension ref="A1:AL239"/>
  <sheetViews>
    <sheetView tabSelected="1" topLeftCell="G13" zoomScale="42" zoomScaleNormal="42" workbookViewId="0">
      <selection activeCell="AG78" sqref="AG78"/>
    </sheetView>
  </sheetViews>
  <sheetFormatPr baseColWidth="10" defaultRowHeight="16" x14ac:dyDescent="0.2"/>
  <cols>
    <col min="1" max="1" width="0" hidden="1" customWidth="1"/>
    <col min="2" max="2" width="10.83203125" hidden="1" customWidth="1"/>
    <col min="3" max="3" width="0.6640625" hidden="1" customWidth="1"/>
    <col min="4" max="5" width="0.1640625" hidden="1" customWidth="1"/>
    <col min="6" max="6" width="4.5" hidden="1" customWidth="1"/>
    <col min="7" max="7" width="17" customWidth="1"/>
    <col min="8" max="8" width="0.1640625" customWidth="1"/>
    <col min="9" max="9" width="27.83203125" bestFit="1" customWidth="1"/>
    <col min="10" max="10" width="27.5" bestFit="1" customWidth="1"/>
    <col min="11" max="17" width="26.83203125" bestFit="1" customWidth="1"/>
    <col min="18" max="20" width="29.1640625" bestFit="1" customWidth="1"/>
    <col min="21" max="31" width="29.33203125" customWidth="1"/>
    <col min="32" max="32" width="15.6640625" customWidth="1"/>
  </cols>
  <sheetData>
    <row r="1" spans="1:32" ht="1" hidden="1" customHeight="1" thickBot="1" x14ac:dyDescent="0.25">
      <c r="AF1" t="s">
        <v>220</v>
      </c>
    </row>
    <row r="2" spans="1:32" ht="25" hidden="1" thickBot="1" x14ac:dyDescent="0.35">
      <c r="A2" s="61"/>
      <c r="B2" s="1"/>
      <c r="L2" s="62"/>
    </row>
    <row r="3" spans="1:32" ht="25" hidden="1" thickBot="1" x14ac:dyDescent="0.35">
      <c r="A3" s="61"/>
      <c r="B3" s="61"/>
      <c r="L3" s="63"/>
    </row>
    <row r="4" spans="1:32" ht="25" hidden="1" thickBot="1" x14ac:dyDescent="0.35">
      <c r="A4" s="61"/>
      <c r="B4" s="61"/>
      <c r="L4" s="62"/>
    </row>
    <row r="5" spans="1:32" ht="29" hidden="1" customHeight="1" x14ac:dyDescent="0.95">
      <c r="A5" s="61"/>
      <c r="B5" s="61"/>
      <c r="G5" s="95"/>
      <c r="H5" s="95"/>
      <c r="I5" s="95"/>
      <c r="J5" s="95"/>
      <c r="K5" s="95"/>
      <c r="L5" s="95"/>
      <c r="M5" s="95"/>
      <c r="N5" s="95"/>
      <c r="O5" s="95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67"/>
      <c r="AD5" s="67"/>
      <c r="AE5" s="67"/>
    </row>
    <row r="6" spans="1:32" ht="1" hidden="1" customHeight="1" x14ac:dyDescent="0.3">
      <c r="A6" s="61"/>
      <c r="B6" s="61"/>
      <c r="G6" s="64"/>
      <c r="L6" s="63"/>
    </row>
    <row r="7" spans="1:32" ht="25" hidden="1" thickBot="1" x14ac:dyDescent="0.35">
      <c r="A7" s="61"/>
      <c r="B7" s="61"/>
      <c r="L7" s="63"/>
    </row>
    <row r="8" spans="1:32" ht="25" hidden="1" thickBot="1" x14ac:dyDescent="0.35">
      <c r="A8" s="61"/>
      <c r="B8" s="61"/>
      <c r="L8" s="63"/>
    </row>
    <row r="9" spans="1:32" ht="25" hidden="1" thickBot="1" x14ac:dyDescent="0.35">
      <c r="A9" s="61"/>
      <c r="B9" s="61"/>
      <c r="L9" s="63"/>
    </row>
    <row r="10" spans="1:32" ht="25" hidden="1" thickBot="1" x14ac:dyDescent="0.35">
      <c r="A10" s="61"/>
      <c r="B10" s="61"/>
      <c r="L10" s="63"/>
    </row>
    <row r="11" spans="1:32" ht="17" hidden="1" thickBot="1" x14ac:dyDescent="0.25">
      <c r="A11" s="61"/>
      <c r="B11" s="61"/>
    </row>
    <row r="12" spans="1:32" ht="17" hidden="1" thickBot="1" x14ac:dyDescent="0.25">
      <c r="A12" s="61"/>
      <c r="B12" s="61"/>
    </row>
    <row r="13" spans="1:32" ht="25" thickBot="1" x14ac:dyDescent="0.35">
      <c r="A13" s="61"/>
      <c r="B13" s="61"/>
      <c r="G13" s="32"/>
      <c r="H13" s="33"/>
      <c r="I13" s="34" t="s">
        <v>9</v>
      </c>
      <c r="J13" s="35" t="s">
        <v>18</v>
      </c>
      <c r="K13" s="35" t="s">
        <v>42</v>
      </c>
      <c r="L13" s="35" t="s">
        <v>15</v>
      </c>
      <c r="M13" s="35" t="s">
        <v>106</v>
      </c>
      <c r="N13" s="35" t="s">
        <v>15</v>
      </c>
      <c r="O13" s="35" t="s">
        <v>15</v>
      </c>
      <c r="P13" s="40" t="s">
        <v>122</v>
      </c>
      <c r="Q13" s="40" t="s">
        <v>122</v>
      </c>
      <c r="R13" s="40" t="s">
        <v>134</v>
      </c>
      <c r="S13" s="40" t="s">
        <v>144</v>
      </c>
      <c r="T13" s="40" t="s">
        <v>42</v>
      </c>
      <c r="U13" s="40" t="s">
        <v>18</v>
      </c>
      <c r="V13" s="40" t="s">
        <v>165</v>
      </c>
      <c r="W13" s="40" t="s">
        <v>174</v>
      </c>
      <c r="X13" s="40" t="s">
        <v>183</v>
      </c>
      <c r="Y13" s="40" t="s">
        <v>15</v>
      </c>
      <c r="Z13" s="40" t="s">
        <v>203</v>
      </c>
      <c r="AA13" s="40" t="s">
        <v>174</v>
      </c>
      <c r="AB13" s="80" t="s">
        <v>210</v>
      </c>
      <c r="AC13" s="80" t="s">
        <v>218</v>
      </c>
      <c r="AD13" s="80" t="s">
        <v>165</v>
      </c>
      <c r="AE13" s="86" t="s">
        <v>232</v>
      </c>
      <c r="AF13" s="36"/>
    </row>
    <row r="14" spans="1:32" ht="24" customHeight="1" thickBot="1" x14ac:dyDescent="0.35">
      <c r="A14" s="61"/>
      <c r="B14" s="61"/>
      <c r="G14" s="31" t="s">
        <v>8</v>
      </c>
      <c r="H14" s="30"/>
      <c r="I14" s="37" t="s">
        <v>0</v>
      </c>
      <c r="J14" s="38" t="s">
        <v>19</v>
      </c>
      <c r="K14" s="38" t="s">
        <v>39</v>
      </c>
      <c r="L14" s="38" t="s">
        <v>40</v>
      </c>
      <c r="M14" s="38" t="s">
        <v>41</v>
      </c>
      <c r="N14" s="38" t="s">
        <v>43</v>
      </c>
      <c r="O14" s="38" t="s">
        <v>44</v>
      </c>
      <c r="P14" s="41" t="s">
        <v>123</v>
      </c>
      <c r="Q14" s="41" t="s">
        <v>127</v>
      </c>
      <c r="R14" s="41" t="s">
        <v>135</v>
      </c>
      <c r="S14" s="41" t="s">
        <v>145</v>
      </c>
      <c r="T14" s="41" t="s">
        <v>170</v>
      </c>
      <c r="U14" s="41" t="s">
        <v>171</v>
      </c>
      <c r="V14" s="41" t="s">
        <v>172</v>
      </c>
      <c r="W14" s="41" t="s">
        <v>173</v>
      </c>
      <c r="X14" s="41" t="s">
        <v>182</v>
      </c>
      <c r="Y14" s="41" t="s">
        <v>202</v>
      </c>
      <c r="Z14" s="41" t="s">
        <v>204</v>
      </c>
      <c r="AA14" s="41" t="s">
        <v>208</v>
      </c>
      <c r="AB14" s="79" t="s">
        <v>211</v>
      </c>
      <c r="AC14" s="79" t="s">
        <v>217</v>
      </c>
      <c r="AD14" s="84" t="s">
        <v>219</v>
      </c>
      <c r="AE14" s="85" t="s">
        <v>221</v>
      </c>
      <c r="AF14" s="48" t="s">
        <v>11</v>
      </c>
    </row>
    <row r="15" spans="1:32" ht="24" x14ac:dyDescent="0.3">
      <c r="A15" s="61"/>
      <c r="B15" s="61"/>
      <c r="G15" s="18" t="s">
        <v>81</v>
      </c>
      <c r="H15" s="13"/>
      <c r="I15" s="9" t="s">
        <v>38</v>
      </c>
      <c r="J15" s="21">
        <f>300*0.09</f>
        <v>27</v>
      </c>
      <c r="K15" s="21">
        <f>260*0.09</f>
        <v>23.4</v>
      </c>
      <c r="L15" s="21">
        <f>250*0.07</f>
        <v>17.5</v>
      </c>
      <c r="M15" s="21">
        <f>270*0.06</f>
        <v>16.2</v>
      </c>
      <c r="N15" s="21">
        <f>250*0.09</f>
        <v>22.5</v>
      </c>
      <c r="O15" s="21">
        <f>250*0.06</f>
        <v>15</v>
      </c>
      <c r="P15" s="42">
        <f>210*0.08</f>
        <v>16.8</v>
      </c>
      <c r="Q15" s="42">
        <f>210*0.07</f>
        <v>14.700000000000001</v>
      </c>
      <c r="R15" s="42">
        <f>240*0.06</f>
        <v>14.399999999999999</v>
      </c>
      <c r="S15" s="42">
        <f>230*0.05</f>
        <v>11.5</v>
      </c>
      <c r="T15" s="42">
        <f>260*0.06</f>
        <v>15.6</v>
      </c>
      <c r="U15" s="42">
        <f>300*0.06</f>
        <v>18</v>
      </c>
      <c r="V15" s="42"/>
      <c r="W15" s="42"/>
      <c r="X15" s="42"/>
      <c r="Y15" s="42"/>
      <c r="Z15" s="42"/>
      <c r="AA15" s="42"/>
      <c r="AB15" s="89"/>
      <c r="AC15" s="89"/>
      <c r="AD15" s="57">
        <f>200*0.05</f>
        <v>10</v>
      </c>
      <c r="AE15" s="89"/>
      <c r="AF15" s="96">
        <f>SUM(J15:AE15)-AD15</f>
        <v>212.6</v>
      </c>
    </row>
    <row r="16" spans="1:32" ht="24" x14ac:dyDescent="0.3">
      <c r="A16" s="61"/>
      <c r="B16" s="61"/>
      <c r="G16" s="19" t="s">
        <v>80</v>
      </c>
      <c r="H16" s="14"/>
      <c r="I16" s="10" t="s">
        <v>2</v>
      </c>
      <c r="J16" s="22">
        <f>300*0.08</f>
        <v>24</v>
      </c>
      <c r="K16" s="22">
        <f>260*0.05</f>
        <v>13</v>
      </c>
      <c r="L16" s="22">
        <f>250*0.05</f>
        <v>12.5</v>
      </c>
      <c r="M16" s="22">
        <f>270*0.09</f>
        <v>24.3</v>
      </c>
      <c r="N16" s="22">
        <f>250*0.06</f>
        <v>15</v>
      </c>
      <c r="O16" s="57">
        <f>250*0.04</f>
        <v>10</v>
      </c>
      <c r="P16" s="59">
        <f>210*0.05</f>
        <v>10.5</v>
      </c>
      <c r="Q16" s="43">
        <f>210*0.09</f>
        <v>18.899999999999999</v>
      </c>
      <c r="R16" s="43">
        <f>240*0.09</f>
        <v>21.599999999999998</v>
      </c>
      <c r="S16" s="43">
        <f>230*0.06</f>
        <v>13.799999999999999</v>
      </c>
      <c r="T16" s="43">
        <f>260*0.06</f>
        <v>15.6</v>
      </c>
      <c r="U16" s="43">
        <f>300*0.06</f>
        <v>18</v>
      </c>
      <c r="V16" s="59">
        <v>12</v>
      </c>
      <c r="W16" s="59">
        <f>170*0.07</f>
        <v>11.9</v>
      </c>
      <c r="X16" s="43">
        <f>220*0.06</f>
        <v>13.2</v>
      </c>
      <c r="Y16" s="43">
        <f>250*0.06</f>
        <v>15</v>
      </c>
      <c r="Z16" s="43"/>
      <c r="AA16" s="59">
        <f>170*0.06</f>
        <v>10.199999999999999</v>
      </c>
      <c r="AB16" s="57">
        <f>130*0.08</f>
        <v>10.4</v>
      </c>
      <c r="AC16" s="57">
        <f>190*0.06</f>
        <v>11.4</v>
      </c>
      <c r="AD16" s="22"/>
      <c r="AE16" s="57">
        <f>520*0.01</f>
        <v>5.2</v>
      </c>
      <c r="AF16" s="97">
        <f>SUM(J16:AE16)-O16-Y16-AB16-V16-W16-AA16-AC16-AE16</f>
        <v>200.39999999999995</v>
      </c>
    </row>
    <row r="17" spans="1:38" ht="24" x14ac:dyDescent="0.3">
      <c r="A17" s="61"/>
      <c r="B17" s="61"/>
      <c r="G17" s="19" t="s">
        <v>79</v>
      </c>
      <c r="H17" s="14"/>
      <c r="I17" s="10" t="s">
        <v>5</v>
      </c>
      <c r="J17" s="22">
        <f>300*0.06</f>
        <v>18</v>
      </c>
      <c r="K17" s="22">
        <f>260*0.08</f>
        <v>20.8</v>
      </c>
      <c r="L17" s="22">
        <f>250*0.06</f>
        <v>15</v>
      </c>
      <c r="M17" s="22"/>
      <c r="N17" s="57">
        <f>250*0.04</f>
        <v>10</v>
      </c>
      <c r="O17" s="22">
        <f>250*0.06</f>
        <v>15</v>
      </c>
      <c r="P17" s="43">
        <f>210*0.06</f>
        <v>12.6</v>
      </c>
      <c r="Q17" s="43">
        <f>210*0.06</f>
        <v>12.6</v>
      </c>
      <c r="R17" s="43">
        <f>240*0.05</f>
        <v>12</v>
      </c>
      <c r="S17" s="59">
        <f>230*0.05</f>
        <v>11.5</v>
      </c>
      <c r="T17" s="43">
        <f>260*0.05</f>
        <v>13</v>
      </c>
      <c r="U17" s="59">
        <f>300*0.03</f>
        <v>9</v>
      </c>
      <c r="V17" s="59">
        <v>8</v>
      </c>
      <c r="W17" s="43">
        <f>170*0.08</f>
        <v>13.6</v>
      </c>
      <c r="X17" s="59">
        <f>220*0.05</f>
        <v>11</v>
      </c>
      <c r="Y17" s="43">
        <f>250*0.08</f>
        <v>20</v>
      </c>
      <c r="Z17" s="43"/>
      <c r="AA17" s="43">
        <f>170*0.08</f>
        <v>13.6</v>
      </c>
      <c r="AB17" s="22"/>
      <c r="AC17" s="22"/>
      <c r="AD17" s="22"/>
      <c r="AE17" s="22">
        <f>520*0.05</f>
        <v>26</v>
      </c>
      <c r="AF17" s="97">
        <f>SUM(J17:AE17)-N17-S17-U17-V17-X17</f>
        <v>192.2</v>
      </c>
    </row>
    <row r="18" spans="1:38" ht="24" x14ac:dyDescent="0.3">
      <c r="A18" s="61"/>
      <c r="B18" s="61"/>
      <c r="G18" s="19" t="s">
        <v>78</v>
      </c>
      <c r="H18" s="14"/>
      <c r="I18" s="10" t="s">
        <v>34</v>
      </c>
      <c r="J18" s="22">
        <f>300*0.06</f>
        <v>18</v>
      </c>
      <c r="K18" s="22">
        <f>260*0.06</f>
        <v>15.6</v>
      </c>
      <c r="L18" s="22">
        <f>250*0.05</f>
        <v>12.5</v>
      </c>
      <c r="M18" s="22">
        <f>270*0.06</f>
        <v>16.2</v>
      </c>
      <c r="N18" s="22">
        <f>250*0.06</f>
        <v>15</v>
      </c>
      <c r="O18" s="22">
        <f>250*0.05</f>
        <v>12.5</v>
      </c>
      <c r="P18" s="43">
        <f>210*0.06</f>
        <v>12.6</v>
      </c>
      <c r="Q18" s="59">
        <f>210*0.05</f>
        <v>10.5</v>
      </c>
      <c r="R18" s="43">
        <f>240*0.06</f>
        <v>14.399999999999999</v>
      </c>
      <c r="S18" s="43">
        <f>230*0.06</f>
        <v>13.799999999999999</v>
      </c>
      <c r="T18" s="43">
        <f>260*0.06</f>
        <v>15.6</v>
      </c>
      <c r="U18" s="43">
        <f>300*0.06</f>
        <v>18</v>
      </c>
      <c r="V18" s="43"/>
      <c r="W18" s="43"/>
      <c r="X18" s="43"/>
      <c r="Y18" s="43"/>
      <c r="Z18" s="43"/>
      <c r="AA18" s="43"/>
      <c r="AB18" s="22"/>
      <c r="AC18" s="22"/>
      <c r="AD18" s="57">
        <f>200*0.06</f>
        <v>12</v>
      </c>
      <c r="AE18" s="22">
        <f>520*0.03</f>
        <v>15.6</v>
      </c>
      <c r="AF18" s="97">
        <f>SUM(J18:AE18)-Q18-AD18</f>
        <v>179.79999999999998</v>
      </c>
    </row>
    <row r="19" spans="1:38" ht="24" x14ac:dyDescent="0.3">
      <c r="A19" s="61"/>
      <c r="B19" s="61"/>
      <c r="G19" s="19" t="s">
        <v>77</v>
      </c>
      <c r="H19" s="14"/>
      <c r="I19" s="10" t="s">
        <v>1</v>
      </c>
      <c r="J19" s="22">
        <f>300*0.04</f>
        <v>12</v>
      </c>
      <c r="K19" s="22">
        <f>260*0.06</f>
        <v>15.6</v>
      </c>
      <c r="L19" s="22">
        <f>250*0.04</f>
        <v>10</v>
      </c>
      <c r="M19" s="22">
        <f>270*0.06</f>
        <v>16.2</v>
      </c>
      <c r="N19" s="22"/>
      <c r="O19" s="22">
        <f>250*0.06</f>
        <v>15</v>
      </c>
      <c r="P19" s="43"/>
      <c r="Q19" s="43"/>
      <c r="R19" s="43">
        <f>240*0.08</f>
        <v>19.2</v>
      </c>
      <c r="S19" s="43">
        <f>230*0.08</f>
        <v>18.400000000000002</v>
      </c>
      <c r="T19" s="43">
        <f>260*0.06</f>
        <v>15.6</v>
      </c>
      <c r="U19" s="43">
        <f>300*0.06</f>
        <v>18</v>
      </c>
      <c r="V19" s="59">
        <v>8</v>
      </c>
      <c r="W19" s="43"/>
      <c r="X19" s="43">
        <f>220*0.05</f>
        <v>11</v>
      </c>
      <c r="Y19" s="59">
        <f>250*0.01</f>
        <v>2.5</v>
      </c>
      <c r="Z19" s="43"/>
      <c r="AA19" s="43">
        <f>170*0.09</f>
        <v>15.299999999999999</v>
      </c>
      <c r="AB19" s="57">
        <f>130*0.06</f>
        <v>7.8</v>
      </c>
      <c r="AC19" s="22">
        <f>190*0.06</f>
        <v>11.4</v>
      </c>
      <c r="AD19" s="57">
        <f>200*0.05</f>
        <v>10</v>
      </c>
      <c r="AE19" s="57"/>
      <c r="AF19" s="97">
        <f>SUM(J19:AE19)-AB19-Y19-V19-AD19</f>
        <v>177.70000000000002</v>
      </c>
    </row>
    <row r="20" spans="1:38" ht="24" x14ac:dyDescent="0.3">
      <c r="A20" s="61"/>
      <c r="B20" s="61"/>
      <c r="G20" s="19" t="s">
        <v>76</v>
      </c>
      <c r="H20" s="14"/>
      <c r="I20" s="10" t="s">
        <v>216</v>
      </c>
      <c r="J20" s="22">
        <f>300*0.06</f>
        <v>18</v>
      </c>
      <c r="K20" s="22"/>
      <c r="L20" s="57">
        <f>250*0.03</f>
        <v>7.5</v>
      </c>
      <c r="M20" s="22"/>
      <c r="N20" s="57">
        <f>250*0.03</f>
        <v>7.5</v>
      </c>
      <c r="O20" s="22"/>
      <c r="P20" s="43">
        <f>210*0.06</f>
        <v>12.6</v>
      </c>
      <c r="Q20" s="59">
        <f>210*0.04</f>
        <v>8.4</v>
      </c>
      <c r="R20" s="43">
        <f>240*0.06</f>
        <v>14.399999999999999</v>
      </c>
      <c r="S20" s="43"/>
      <c r="T20" s="43">
        <f>260*0.05</f>
        <v>13</v>
      </c>
      <c r="U20" s="43">
        <f>300*0.04</f>
        <v>12</v>
      </c>
      <c r="V20" s="43">
        <v>14</v>
      </c>
      <c r="W20" s="43">
        <f>170*0.06</f>
        <v>10.199999999999999</v>
      </c>
      <c r="X20" s="43">
        <f>220*0.08</f>
        <v>17.600000000000001</v>
      </c>
      <c r="Y20" s="59">
        <f>250*0.03</f>
        <v>7.5</v>
      </c>
      <c r="Z20" s="59">
        <f>60*0.09</f>
        <v>5.3999999999999995</v>
      </c>
      <c r="AA20" s="43">
        <f>170*0.06</f>
        <v>10.199999999999999</v>
      </c>
      <c r="AB20" s="22">
        <f>130*0.09</f>
        <v>11.7</v>
      </c>
      <c r="AC20" s="22">
        <f>190*0.05</f>
        <v>9.5</v>
      </c>
      <c r="AD20" s="22">
        <f>200*0.06</f>
        <v>12</v>
      </c>
      <c r="AE20" s="22">
        <f>520*0.05</f>
        <v>26</v>
      </c>
      <c r="AF20" s="97">
        <f>SUM(J20:AE20)-Z20-Y20-N20-Q20-L20-AC20</f>
        <v>171.7</v>
      </c>
    </row>
    <row r="21" spans="1:38" ht="24" x14ac:dyDescent="0.3">
      <c r="A21" s="61"/>
      <c r="B21" s="61"/>
      <c r="G21" s="19" t="s">
        <v>75</v>
      </c>
      <c r="H21" s="14"/>
      <c r="I21" s="10" t="s">
        <v>90</v>
      </c>
      <c r="J21" s="28"/>
      <c r="K21" s="28"/>
      <c r="L21" s="22">
        <f>250*0.05</f>
        <v>12.5</v>
      </c>
      <c r="M21" s="22">
        <f>270*0.05</f>
        <v>13.5</v>
      </c>
      <c r="N21" s="22">
        <f>250*0.06</f>
        <v>15</v>
      </c>
      <c r="O21" s="22"/>
      <c r="P21" s="43">
        <f>210*0.06</f>
        <v>12.6</v>
      </c>
      <c r="Q21" s="43">
        <f>210*0.05</f>
        <v>10.5</v>
      </c>
      <c r="R21" s="43">
        <f>240*0.05</f>
        <v>12</v>
      </c>
      <c r="S21" s="43">
        <f>230*0.06</f>
        <v>13.799999999999999</v>
      </c>
      <c r="T21" s="43"/>
      <c r="U21" s="43">
        <f>300*0.05</f>
        <v>15</v>
      </c>
      <c r="V21" s="43">
        <v>16</v>
      </c>
      <c r="W21" s="43">
        <f>170*0.09</f>
        <v>15.299999999999999</v>
      </c>
      <c r="X21" s="43">
        <f>220*0.06</f>
        <v>13.2</v>
      </c>
      <c r="Y21" s="59">
        <f>250*0.03</f>
        <v>7.5</v>
      </c>
      <c r="Z21" s="43"/>
      <c r="AA21" s="59">
        <f>170*0.06</f>
        <v>10.199999999999999</v>
      </c>
      <c r="AB21" s="22"/>
      <c r="AC21" s="22">
        <f>190*0.07</f>
        <v>13.3</v>
      </c>
      <c r="AD21" s="22"/>
      <c r="AE21" s="57">
        <f>520*0.02</f>
        <v>10.4</v>
      </c>
      <c r="AF21" s="97">
        <f>SUM(J21:AE21)-AA21-Y21-AE21</f>
        <v>162.69999999999999</v>
      </c>
    </row>
    <row r="22" spans="1:38" ht="24" x14ac:dyDescent="0.3">
      <c r="A22" s="61"/>
      <c r="B22" s="61"/>
      <c r="G22" s="19" t="s">
        <v>73</v>
      </c>
      <c r="H22" s="14"/>
      <c r="I22" s="10" t="s">
        <v>88</v>
      </c>
      <c r="J22" s="22"/>
      <c r="K22" s="22"/>
      <c r="L22" s="57">
        <f>250*0.03</f>
        <v>7.5</v>
      </c>
      <c r="M22" s="22">
        <f>270*0.04</f>
        <v>10.8</v>
      </c>
      <c r="N22" s="22">
        <f>250*0.05</f>
        <v>12.5</v>
      </c>
      <c r="O22" s="22">
        <f>250*0.06</f>
        <v>15</v>
      </c>
      <c r="P22" s="43">
        <f>210*0.07</f>
        <v>14.700000000000001</v>
      </c>
      <c r="Q22" s="43">
        <f>210*0.08</f>
        <v>16.8</v>
      </c>
      <c r="R22" s="43">
        <f>240*0.06</f>
        <v>14.399999999999999</v>
      </c>
      <c r="S22" s="43">
        <f>230*0.06</f>
        <v>13.799999999999999</v>
      </c>
      <c r="T22" s="43">
        <f>260*0.08</f>
        <v>20.8</v>
      </c>
      <c r="U22" s="43">
        <f>300*0.03</f>
        <v>9</v>
      </c>
      <c r="V22" s="43">
        <v>10</v>
      </c>
      <c r="W22" s="43"/>
      <c r="X22" s="43"/>
      <c r="Y22" s="59">
        <f>250*0.01</f>
        <v>2.5</v>
      </c>
      <c r="Z22" s="43"/>
      <c r="AA22" s="43">
        <f>170*0.07</f>
        <v>11.9</v>
      </c>
      <c r="AB22" s="22"/>
      <c r="AC22" s="22"/>
      <c r="AD22" s="22">
        <f>200*0.06</f>
        <v>12</v>
      </c>
      <c r="AE22" s="22"/>
      <c r="AF22" s="97">
        <f>SUM(J22:AE22)-Y22-L22</f>
        <v>161.69999999999999</v>
      </c>
    </row>
    <row r="23" spans="1:38" ht="24" x14ac:dyDescent="0.3">
      <c r="A23" s="61"/>
      <c r="B23" s="61"/>
      <c r="G23" s="19" t="s">
        <v>72</v>
      </c>
      <c r="H23" s="14"/>
      <c r="I23" s="10" t="s">
        <v>3</v>
      </c>
      <c r="J23" s="22"/>
      <c r="K23" s="22"/>
      <c r="L23" s="22"/>
      <c r="M23" s="22"/>
      <c r="N23" s="22"/>
      <c r="O23" s="22">
        <f>250*0.07</f>
        <v>17.5</v>
      </c>
      <c r="P23" s="59">
        <f>210*0.04</f>
        <v>8.4</v>
      </c>
      <c r="Q23" s="43">
        <f>210*0.05</f>
        <v>10.5</v>
      </c>
      <c r="R23" s="43">
        <f>240*0.05</f>
        <v>12</v>
      </c>
      <c r="S23" s="43">
        <f>230*0.07</f>
        <v>16.100000000000001</v>
      </c>
      <c r="T23" s="43">
        <f>260*0.06</f>
        <v>15.6</v>
      </c>
      <c r="U23" s="43">
        <f>300*0.05</f>
        <v>15</v>
      </c>
      <c r="V23" s="43">
        <v>12</v>
      </c>
      <c r="W23" s="59">
        <f>170*0.06</f>
        <v>10.199999999999999</v>
      </c>
      <c r="X23" s="43">
        <f>220*0.06</f>
        <v>13.2</v>
      </c>
      <c r="Y23" s="43">
        <f>250*0.06</f>
        <v>15</v>
      </c>
      <c r="Z23" s="43"/>
      <c r="AA23" s="43">
        <f>170*0.06</f>
        <v>10.199999999999999</v>
      </c>
      <c r="AB23" s="57">
        <f>130*0.06</f>
        <v>7.8</v>
      </c>
      <c r="AC23" s="22">
        <f>190*0.06</f>
        <v>11.4</v>
      </c>
      <c r="AD23" s="22">
        <f>200*0.06</f>
        <v>12</v>
      </c>
      <c r="AE23" s="22"/>
      <c r="AF23" s="97">
        <f>SUM(J23:AE23)-AB23-P23-W23</f>
        <v>160.5</v>
      </c>
    </row>
    <row r="24" spans="1:38" s="61" customFormat="1" ht="25" thickBot="1" x14ac:dyDescent="0.35">
      <c r="G24" s="20" t="s">
        <v>71</v>
      </c>
      <c r="H24" s="15"/>
      <c r="I24" s="11" t="s">
        <v>133</v>
      </c>
      <c r="J24" s="50"/>
      <c r="K24" s="50"/>
      <c r="L24" s="50"/>
      <c r="M24" s="50"/>
      <c r="N24" s="50"/>
      <c r="O24" s="50"/>
      <c r="P24" s="50"/>
      <c r="Q24" s="50">
        <f>210*0.06</f>
        <v>12.6</v>
      </c>
      <c r="R24" s="50"/>
      <c r="S24" s="50">
        <f>230*0.01</f>
        <v>2.3000000000000003</v>
      </c>
      <c r="T24" s="50">
        <f>260*0.05</f>
        <v>13</v>
      </c>
      <c r="U24" s="50">
        <f>300*0.06</f>
        <v>18</v>
      </c>
      <c r="V24" s="50">
        <f>200*0.09</f>
        <v>18</v>
      </c>
      <c r="W24" s="50">
        <f>170*0.06</f>
        <v>10.199999999999999</v>
      </c>
      <c r="X24" s="50">
        <f>220*0.09</f>
        <v>19.8</v>
      </c>
      <c r="Y24" s="50">
        <f>250*0.06</f>
        <v>15</v>
      </c>
      <c r="Z24" s="50"/>
      <c r="AA24" s="50">
        <f>170*0.06</f>
        <v>10.199999999999999</v>
      </c>
      <c r="AB24" s="73">
        <f>130*0.06</f>
        <v>7.8</v>
      </c>
      <c r="AC24" s="73"/>
      <c r="AD24" s="73">
        <f>200*0.08</f>
        <v>16</v>
      </c>
      <c r="AE24" s="73"/>
      <c r="AF24" s="98">
        <f>SUM(J24:AE24)</f>
        <v>142.89999999999998</v>
      </c>
    </row>
    <row r="25" spans="1:38" s="61" customFormat="1" ht="24" x14ac:dyDescent="0.3">
      <c r="G25" s="6" t="s">
        <v>69</v>
      </c>
      <c r="H25" s="16"/>
      <c r="I25" s="99" t="s">
        <v>115</v>
      </c>
      <c r="J25" s="75">
        <f>300*0.06</f>
        <v>18</v>
      </c>
      <c r="K25" s="75">
        <v>0</v>
      </c>
      <c r="L25" s="75">
        <v>0</v>
      </c>
      <c r="M25" s="75">
        <f>270*0.01</f>
        <v>2.7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65">
        <v>0</v>
      </c>
      <c r="AC25" s="65">
        <f>190*0.09</f>
        <v>17.099999999999998</v>
      </c>
      <c r="AD25" s="65">
        <f>200*0.06</f>
        <v>12</v>
      </c>
      <c r="AE25" s="65">
        <f>520*0.06</f>
        <v>31.2</v>
      </c>
      <c r="AF25" s="76">
        <f>SUM(J25:AE25)</f>
        <v>81</v>
      </c>
    </row>
    <row r="26" spans="1:38" ht="24" x14ac:dyDescent="0.3">
      <c r="A26" s="61"/>
      <c r="B26" s="61"/>
      <c r="G26" s="7" t="s">
        <v>68</v>
      </c>
      <c r="H26" s="17"/>
      <c r="I26" s="39" t="s">
        <v>29</v>
      </c>
      <c r="J26" s="23">
        <f>300*0.03</f>
        <v>9</v>
      </c>
      <c r="K26" s="23">
        <v>0</v>
      </c>
      <c r="L26" s="24">
        <v>0</v>
      </c>
      <c r="M26" s="23">
        <f>270*0.02</f>
        <v>5.4</v>
      </c>
      <c r="N26" s="23">
        <v>0</v>
      </c>
      <c r="O26" s="23">
        <f>250*0.06</f>
        <v>15</v>
      </c>
      <c r="P26" s="23">
        <v>0</v>
      </c>
      <c r="Q26" s="23">
        <f>210*0.06</f>
        <v>12.6</v>
      </c>
      <c r="R26" s="23">
        <f>240*0.03</f>
        <v>7.1999999999999993</v>
      </c>
      <c r="S26" s="23">
        <v>0</v>
      </c>
      <c r="T26" s="23">
        <v>0</v>
      </c>
      <c r="U26" s="23">
        <v>0</v>
      </c>
      <c r="V26" s="23">
        <v>0</v>
      </c>
      <c r="W26" s="45">
        <v>0</v>
      </c>
      <c r="X26" s="45">
        <f>220*0.05</f>
        <v>11</v>
      </c>
      <c r="Y26" s="45">
        <f>250*0.04</f>
        <v>10</v>
      </c>
      <c r="Z26" s="45">
        <v>0</v>
      </c>
      <c r="AA26" s="45">
        <f>170*0.06</f>
        <v>10.199999999999999</v>
      </c>
      <c r="AB26" s="23">
        <v>0</v>
      </c>
      <c r="AC26" s="23">
        <v>0</v>
      </c>
      <c r="AD26" s="23">
        <v>0</v>
      </c>
      <c r="AE26" s="23">
        <v>0</v>
      </c>
      <c r="AF26" s="68">
        <f>SUM(J26:AE26)</f>
        <v>80.400000000000006</v>
      </c>
    </row>
    <row r="27" spans="1:38" ht="24" x14ac:dyDescent="0.3">
      <c r="A27" s="61"/>
      <c r="B27" s="61"/>
      <c r="G27" s="7" t="s">
        <v>66</v>
      </c>
      <c r="H27" s="17"/>
      <c r="I27" s="39" t="s">
        <v>31</v>
      </c>
      <c r="J27" s="23">
        <f>300*0.07</f>
        <v>21.000000000000004</v>
      </c>
      <c r="K27" s="23">
        <v>0</v>
      </c>
      <c r="L27" s="23">
        <v>0</v>
      </c>
      <c r="M27" s="23">
        <v>0</v>
      </c>
      <c r="N27" s="23">
        <f>250*0.06</f>
        <v>15</v>
      </c>
      <c r="O27" s="23">
        <f>250*0.05</f>
        <v>12.5</v>
      </c>
      <c r="P27" s="45">
        <f>210*0.05</f>
        <v>10.5</v>
      </c>
      <c r="Q27" s="45">
        <v>0</v>
      </c>
      <c r="R27" s="45">
        <v>0</v>
      </c>
      <c r="S27" s="45">
        <v>0</v>
      </c>
      <c r="T27" s="45">
        <f>260*0.01</f>
        <v>2.6</v>
      </c>
      <c r="U27" s="45">
        <v>0</v>
      </c>
      <c r="V27" s="45">
        <v>12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3">
        <v>0</v>
      </c>
      <c r="AC27" s="23">
        <v>0</v>
      </c>
      <c r="AD27" s="23">
        <v>0</v>
      </c>
      <c r="AE27" s="23">
        <v>0</v>
      </c>
      <c r="AF27" s="78">
        <f>SUM(J27:AE27)</f>
        <v>73.599999999999994</v>
      </c>
    </row>
    <row r="28" spans="1:38" ht="24" x14ac:dyDescent="0.3">
      <c r="G28" s="7" t="s">
        <v>64</v>
      </c>
      <c r="H28" s="17"/>
      <c r="I28" s="27" t="s">
        <v>24</v>
      </c>
      <c r="J28" s="24">
        <f>300*0.01</f>
        <v>3</v>
      </c>
      <c r="K28" s="24">
        <v>0</v>
      </c>
      <c r="L28" s="24">
        <f>250*0.02</f>
        <v>5</v>
      </c>
      <c r="M28" s="24">
        <f>270*0.01</f>
        <v>2.7</v>
      </c>
      <c r="N28" s="24">
        <f>250*0.01</f>
        <v>2.5</v>
      </c>
      <c r="O28" s="24">
        <f>250*0.01</f>
        <v>2.5</v>
      </c>
      <c r="P28" s="87">
        <f>210*0.01</f>
        <v>2.1</v>
      </c>
      <c r="Q28" s="44">
        <v>0</v>
      </c>
      <c r="R28" s="44">
        <v>0</v>
      </c>
      <c r="S28" s="44">
        <f>230*0.02</f>
        <v>4.6000000000000005</v>
      </c>
      <c r="T28" s="44">
        <f>260*0.01</f>
        <v>2.6</v>
      </c>
      <c r="U28" s="44">
        <f>300*0.01</f>
        <v>3</v>
      </c>
      <c r="V28" s="44">
        <v>4</v>
      </c>
      <c r="W28" s="44">
        <f>170*0.03</f>
        <v>5.0999999999999996</v>
      </c>
      <c r="X28" s="44">
        <v>0</v>
      </c>
      <c r="Y28" s="87">
        <f>250*0.01</f>
        <v>2.5</v>
      </c>
      <c r="Z28" s="45">
        <f>60*0.07</f>
        <v>4.2</v>
      </c>
      <c r="AA28" s="45">
        <f>170*0.04</f>
        <v>6.8</v>
      </c>
      <c r="AB28" s="23">
        <f>130*0.04</f>
        <v>5.2</v>
      </c>
      <c r="AC28" s="23">
        <f>190*0.05</f>
        <v>9.5</v>
      </c>
      <c r="AD28" s="23">
        <f>200*0.03</f>
        <v>6</v>
      </c>
      <c r="AE28" s="23">
        <v>0</v>
      </c>
      <c r="AF28" s="68">
        <f>SUM(J28:AE28)</f>
        <v>71.300000000000011</v>
      </c>
    </row>
    <row r="29" spans="1:38" ht="24" x14ac:dyDescent="0.3">
      <c r="G29" s="7" t="s">
        <v>62</v>
      </c>
      <c r="H29" s="17"/>
      <c r="I29" s="27" t="s">
        <v>32</v>
      </c>
      <c r="J29" s="24">
        <f>300*0.05</f>
        <v>15</v>
      </c>
      <c r="K29" s="24">
        <f>260*0.02</f>
        <v>5.2</v>
      </c>
      <c r="L29" s="24">
        <f>250*0.08</f>
        <v>20</v>
      </c>
      <c r="M29" s="24">
        <f>270*0.06</f>
        <v>16.2</v>
      </c>
      <c r="N29" s="24">
        <v>0</v>
      </c>
      <c r="O29" s="24">
        <v>0</v>
      </c>
      <c r="P29" s="44">
        <v>0</v>
      </c>
      <c r="Q29" s="44">
        <v>0</v>
      </c>
      <c r="R29" s="44">
        <f>240*0.06</f>
        <v>14.399999999999999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23">
        <v>0</v>
      </c>
      <c r="AC29" s="23">
        <v>0</v>
      </c>
      <c r="AD29" s="23">
        <v>0</v>
      </c>
      <c r="AE29" s="23">
        <v>0</v>
      </c>
      <c r="AF29" s="68">
        <f>SUM(J29:AE29)</f>
        <v>70.800000000000011</v>
      </c>
    </row>
    <row r="30" spans="1:38" ht="24" x14ac:dyDescent="0.3">
      <c r="G30" s="7" t="s">
        <v>60</v>
      </c>
      <c r="H30" s="51"/>
      <c r="I30" s="54" t="s">
        <v>37</v>
      </c>
      <c r="J30" s="46">
        <v>0</v>
      </c>
      <c r="K30" s="46">
        <v>0</v>
      </c>
      <c r="L30" s="24">
        <v>0</v>
      </c>
      <c r="M30" s="46">
        <v>0</v>
      </c>
      <c r="N30" s="46">
        <f>250*0.06</f>
        <v>15</v>
      </c>
      <c r="O30" s="46">
        <v>0</v>
      </c>
      <c r="P30" s="49">
        <f>210*0.06</f>
        <v>12.6</v>
      </c>
      <c r="Q30" s="49">
        <v>0</v>
      </c>
      <c r="R30" s="49">
        <v>0</v>
      </c>
      <c r="S30" s="49">
        <f>230*0.06</f>
        <v>13.799999999999999</v>
      </c>
      <c r="T30" s="49">
        <f>260*0.09</f>
        <v>23.4</v>
      </c>
      <c r="U30" s="49">
        <f>300*0.01</f>
        <v>3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23">
        <v>0</v>
      </c>
      <c r="AC30" s="23">
        <v>0</v>
      </c>
      <c r="AD30" s="23">
        <v>0</v>
      </c>
      <c r="AE30" s="23">
        <v>0</v>
      </c>
      <c r="AF30" s="68">
        <f>SUM(J30:AE30)</f>
        <v>67.8</v>
      </c>
    </row>
    <row r="31" spans="1:38" ht="24" x14ac:dyDescent="0.3">
      <c r="G31" s="7" t="s">
        <v>58</v>
      </c>
      <c r="H31" s="17"/>
      <c r="I31" s="27" t="s">
        <v>118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44">
        <v>0</v>
      </c>
      <c r="Q31" s="44">
        <v>0</v>
      </c>
      <c r="R31" s="44">
        <v>0</v>
      </c>
      <c r="S31" s="44">
        <v>0</v>
      </c>
      <c r="T31" s="44">
        <f>260*0.02</f>
        <v>5.2</v>
      </c>
      <c r="U31" s="44">
        <v>0</v>
      </c>
      <c r="V31" s="44">
        <v>0</v>
      </c>
      <c r="W31" s="44">
        <v>0</v>
      </c>
      <c r="X31" s="44">
        <v>0</v>
      </c>
      <c r="Y31" s="49">
        <v>0</v>
      </c>
      <c r="Z31" s="49">
        <v>0</v>
      </c>
      <c r="AA31" s="49">
        <v>0</v>
      </c>
      <c r="AB31" s="23">
        <v>0</v>
      </c>
      <c r="AC31" s="23">
        <f>190*0.08</f>
        <v>15.200000000000001</v>
      </c>
      <c r="AD31" s="23">
        <f>200*0.07</f>
        <v>14.000000000000002</v>
      </c>
      <c r="AE31" s="23">
        <f>520*0.06</f>
        <v>31.2</v>
      </c>
      <c r="AF31" s="68">
        <f>SUM(J31:AE31)</f>
        <v>65.600000000000009</v>
      </c>
      <c r="AL31" s="29"/>
    </row>
    <row r="32" spans="1:38" ht="24" x14ac:dyDescent="0.3">
      <c r="G32" s="7" t="s">
        <v>56</v>
      </c>
      <c r="H32" s="17"/>
      <c r="I32" s="27" t="s">
        <v>10</v>
      </c>
      <c r="J32" s="24">
        <v>0</v>
      </c>
      <c r="K32" s="24">
        <f>260*0.01</f>
        <v>2.6</v>
      </c>
      <c r="L32" s="24">
        <v>0</v>
      </c>
      <c r="M32" s="24">
        <f>270*0.01</f>
        <v>2.7</v>
      </c>
      <c r="N32" s="24">
        <v>0</v>
      </c>
      <c r="O32" s="23">
        <v>0</v>
      </c>
      <c r="P32" s="45">
        <f>210*0.04</f>
        <v>8.4</v>
      </c>
      <c r="Q32" s="45">
        <f>210*0.02</f>
        <v>4.2</v>
      </c>
      <c r="R32" s="45">
        <f>240*0.01</f>
        <v>2.4</v>
      </c>
      <c r="S32" s="45">
        <f>230*0.01</f>
        <v>2.3000000000000003</v>
      </c>
      <c r="T32" s="45">
        <f>260*0.01</f>
        <v>2.6</v>
      </c>
      <c r="U32" s="45">
        <v>0</v>
      </c>
      <c r="V32" s="45">
        <v>4</v>
      </c>
      <c r="W32" s="45">
        <f>170*0.04</f>
        <v>6.8</v>
      </c>
      <c r="X32" s="45">
        <f>220*0.01</f>
        <v>2.2000000000000002</v>
      </c>
      <c r="Y32" s="70">
        <f>250*0.01</f>
        <v>2.5</v>
      </c>
      <c r="Z32" s="49">
        <v>0</v>
      </c>
      <c r="AA32" s="49">
        <f>170*0.02</f>
        <v>3.4</v>
      </c>
      <c r="AB32" s="23">
        <f>130*0.05</f>
        <v>6.5</v>
      </c>
      <c r="AC32" s="23">
        <f>190*0.05</f>
        <v>9.5</v>
      </c>
      <c r="AD32" s="23">
        <f>200*0.02</f>
        <v>4</v>
      </c>
      <c r="AE32" s="23">
        <v>0</v>
      </c>
      <c r="AF32" s="68">
        <f>SUM(J32:AE32)</f>
        <v>64.099999999999994</v>
      </c>
      <c r="AL32" s="29"/>
    </row>
    <row r="33" spans="7:38" ht="24" x14ac:dyDescent="0.3">
      <c r="G33" s="7" t="s">
        <v>55</v>
      </c>
      <c r="H33" s="17"/>
      <c r="I33" s="27" t="s">
        <v>142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44">
        <v>0</v>
      </c>
      <c r="Q33" s="44">
        <v>0</v>
      </c>
      <c r="R33" s="44">
        <f>240*0.06</f>
        <v>14.399999999999999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23">
        <v>0</v>
      </c>
      <c r="AC33" s="24">
        <v>0</v>
      </c>
      <c r="AD33" s="101">
        <v>0</v>
      </c>
      <c r="AE33" s="23">
        <f>520*0.09</f>
        <v>46.8</v>
      </c>
      <c r="AF33" s="68">
        <f>SUM(J33:AE33)</f>
        <v>61.199999999999996</v>
      </c>
      <c r="AL33" s="29"/>
    </row>
    <row r="34" spans="7:38" ht="24" x14ac:dyDescent="0.3">
      <c r="G34" s="7" t="s">
        <v>54</v>
      </c>
      <c r="H34" s="17"/>
      <c r="I34" s="39" t="s">
        <v>6</v>
      </c>
      <c r="J34" s="24">
        <v>0</v>
      </c>
      <c r="K34" s="24">
        <f>260*0.04</f>
        <v>10.4</v>
      </c>
      <c r="L34" s="24">
        <v>0</v>
      </c>
      <c r="M34" s="24">
        <v>0</v>
      </c>
      <c r="N34" s="24">
        <v>0</v>
      </c>
      <c r="O34" s="24">
        <v>0</v>
      </c>
      <c r="P34" s="44">
        <f>210*0.06</f>
        <v>12.6</v>
      </c>
      <c r="Q34" s="44">
        <v>0</v>
      </c>
      <c r="R34" s="44">
        <v>0</v>
      </c>
      <c r="S34" s="44">
        <v>0</v>
      </c>
      <c r="T34" s="44">
        <f>260*0.04</f>
        <v>10.4</v>
      </c>
      <c r="U34" s="44">
        <f>300*0.09</f>
        <v>27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23">
        <v>0</v>
      </c>
      <c r="AC34" s="23">
        <v>0</v>
      </c>
      <c r="AD34" s="23">
        <v>0</v>
      </c>
      <c r="AE34" s="23">
        <v>0</v>
      </c>
      <c r="AF34" s="68">
        <f>SUM(J34:AE34)</f>
        <v>60.4</v>
      </c>
      <c r="AL34" s="29"/>
    </row>
    <row r="35" spans="7:38" ht="24" x14ac:dyDescent="0.3">
      <c r="G35" s="7" t="s">
        <v>53</v>
      </c>
      <c r="H35" s="17"/>
      <c r="I35" s="27" t="s">
        <v>13</v>
      </c>
      <c r="J35" s="24">
        <v>0</v>
      </c>
      <c r="K35" s="24">
        <v>0</v>
      </c>
      <c r="L35" s="24">
        <f>250*0.06</f>
        <v>15</v>
      </c>
      <c r="M35" s="24">
        <v>0</v>
      </c>
      <c r="N35" s="24">
        <f>250*0.01</f>
        <v>2.5</v>
      </c>
      <c r="O35" s="24">
        <f>250*0.02</f>
        <v>5</v>
      </c>
      <c r="P35" s="44">
        <f>210*0.03</f>
        <v>6.3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66">
        <v>0</v>
      </c>
      <c r="AA35" s="66">
        <v>0</v>
      </c>
      <c r="AB35" s="23">
        <v>0</v>
      </c>
      <c r="AC35" s="23">
        <v>0</v>
      </c>
      <c r="AD35" s="23">
        <v>0</v>
      </c>
      <c r="AE35" s="23">
        <v>0</v>
      </c>
      <c r="AF35" s="68">
        <f>SUM(A35:AE35)</f>
        <v>28.8</v>
      </c>
      <c r="AL35" s="29"/>
    </row>
    <row r="36" spans="7:38" ht="24" x14ac:dyDescent="0.3">
      <c r="G36" s="7" t="s">
        <v>51</v>
      </c>
      <c r="H36" s="52"/>
      <c r="I36" s="27" t="s">
        <v>96</v>
      </c>
      <c r="J36" s="26">
        <v>0</v>
      </c>
      <c r="K36" s="26">
        <v>0</v>
      </c>
      <c r="L36" s="23">
        <v>0</v>
      </c>
      <c r="M36" s="23">
        <f>270*0.06</f>
        <v>16.2</v>
      </c>
      <c r="N36" s="24">
        <v>0</v>
      </c>
      <c r="O36" s="23">
        <v>0</v>
      </c>
      <c r="P36" s="45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f>220*0.06</f>
        <v>13.2</v>
      </c>
      <c r="Y36" s="44">
        <v>0</v>
      </c>
      <c r="Z36" s="44">
        <v>0</v>
      </c>
      <c r="AA36" s="44">
        <v>0</v>
      </c>
      <c r="AB36" s="23">
        <v>0</v>
      </c>
      <c r="AC36" s="23">
        <v>0</v>
      </c>
      <c r="AD36" s="23">
        <v>0</v>
      </c>
      <c r="AE36" s="23">
        <v>0</v>
      </c>
      <c r="AF36" s="68">
        <f>SUM(A36:AE36)</f>
        <v>29.4</v>
      </c>
      <c r="AL36" s="29"/>
    </row>
    <row r="37" spans="7:38" ht="24" x14ac:dyDescent="0.3">
      <c r="G37" s="7" t="s">
        <v>49</v>
      </c>
      <c r="H37" s="52"/>
      <c r="I37" s="27" t="s">
        <v>16</v>
      </c>
      <c r="J37" s="24">
        <v>0</v>
      </c>
      <c r="K37" s="24">
        <f>260*0.01</f>
        <v>2.6</v>
      </c>
      <c r="L37" s="24">
        <f>250*0.01</f>
        <v>2.5</v>
      </c>
      <c r="M37" s="24">
        <v>0</v>
      </c>
      <c r="N37" s="24">
        <f>250*0.01</f>
        <v>2.5</v>
      </c>
      <c r="O37" s="24">
        <f>250*0.01</f>
        <v>2.5</v>
      </c>
      <c r="P37" s="44">
        <f>210*0.03</f>
        <v>6.3</v>
      </c>
      <c r="Q37" s="44">
        <f>210*0.01</f>
        <v>2.1</v>
      </c>
      <c r="R37" s="44">
        <f>240*0.01</f>
        <v>2.4</v>
      </c>
      <c r="S37" s="44">
        <f>230*0.01</f>
        <v>2.3000000000000003</v>
      </c>
      <c r="T37" s="44">
        <f>260*0.01</f>
        <v>2.6</v>
      </c>
      <c r="U37" s="44">
        <f>300*0.01</f>
        <v>3</v>
      </c>
      <c r="V37" s="44">
        <v>2</v>
      </c>
      <c r="W37" s="44">
        <f>170*0.04</f>
        <v>6.8</v>
      </c>
      <c r="X37" s="44">
        <f>220*0.01</f>
        <v>2.2000000000000002</v>
      </c>
      <c r="Y37" s="44">
        <f>250*0.01</f>
        <v>2.5</v>
      </c>
      <c r="Z37" s="44">
        <f>60*0.06</f>
        <v>3.5999999999999996</v>
      </c>
      <c r="AA37" s="44">
        <f>170*0.02</f>
        <v>3.4</v>
      </c>
      <c r="AB37" s="23">
        <v>0</v>
      </c>
      <c r="AC37" s="23">
        <v>0</v>
      </c>
      <c r="AD37" s="23">
        <f>200*0.03</f>
        <v>6</v>
      </c>
      <c r="AE37" s="23">
        <v>0</v>
      </c>
      <c r="AF37" s="68">
        <f>SUM(J37:AE37)</f>
        <v>55.300000000000004</v>
      </c>
      <c r="AL37" s="29"/>
    </row>
    <row r="38" spans="7:38" ht="24" x14ac:dyDescent="0.3">
      <c r="G38" s="7" t="s">
        <v>47</v>
      </c>
      <c r="H38" s="52"/>
      <c r="I38" s="27" t="s">
        <v>180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f>170*0.06</f>
        <v>10.199999999999999</v>
      </c>
      <c r="X38" s="44">
        <v>0</v>
      </c>
      <c r="Y38" s="44">
        <v>0</v>
      </c>
      <c r="Z38" s="44">
        <v>0</v>
      </c>
      <c r="AA38" s="44">
        <v>0</v>
      </c>
      <c r="AB38" s="23">
        <v>0</v>
      </c>
      <c r="AC38" s="23">
        <f>190*0.03</f>
        <v>5.7</v>
      </c>
      <c r="AD38" s="23">
        <f>200*0.02</f>
        <v>4</v>
      </c>
      <c r="AE38" s="23">
        <f>520*0.06</f>
        <v>31.2</v>
      </c>
      <c r="AF38" s="68">
        <f>SUM(J38:AE38)</f>
        <v>51.099999999999994</v>
      </c>
      <c r="AL38" s="29"/>
    </row>
    <row r="39" spans="7:38" ht="25" thickBot="1" x14ac:dyDescent="0.35">
      <c r="G39" s="8" t="s">
        <v>46</v>
      </c>
      <c r="H39" s="53"/>
      <c r="I39" s="55" t="s">
        <v>121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88">
        <v>0</v>
      </c>
      <c r="Q39" s="88">
        <f>210*0.06</f>
        <v>12.6</v>
      </c>
      <c r="R39" s="88">
        <v>0</v>
      </c>
      <c r="S39" s="88">
        <v>0</v>
      </c>
      <c r="T39" s="88">
        <v>0</v>
      </c>
      <c r="U39" s="88">
        <f>300*0.06</f>
        <v>18</v>
      </c>
      <c r="V39" s="88">
        <v>18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58">
        <v>0</v>
      </c>
      <c r="AC39" s="58">
        <v>0</v>
      </c>
      <c r="AD39" s="58">
        <v>0</v>
      </c>
      <c r="AE39" s="58">
        <v>0</v>
      </c>
      <c r="AF39" s="69">
        <f>SUM(J39:AE39)</f>
        <v>48.6</v>
      </c>
      <c r="AL39" s="29"/>
    </row>
    <row r="40" spans="7:38" ht="24" x14ac:dyDescent="0.3">
      <c r="G40" s="4">
        <v>26</v>
      </c>
      <c r="H40" s="12"/>
      <c r="I40" s="47" t="s">
        <v>92</v>
      </c>
      <c r="J40" s="46">
        <v>0</v>
      </c>
      <c r="K40" s="46">
        <v>0</v>
      </c>
      <c r="L40" s="46">
        <f>250*0.06</f>
        <v>15</v>
      </c>
      <c r="M40" s="46">
        <v>0</v>
      </c>
      <c r="N40" s="46">
        <v>0</v>
      </c>
      <c r="O40" s="46">
        <v>0</v>
      </c>
      <c r="P40" s="46">
        <v>0</v>
      </c>
      <c r="Q40" s="24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f>170*0.06</f>
        <v>10.199999999999999</v>
      </c>
      <c r="X40" s="46">
        <f>220*0.06</f>
        <v>13.2</v>
      </c>
      <c r="Y40" s="46">
        <f>250*0.04</f>
        <v>10</v>
      </c>
      <c r="Z40" s="46">
        <v>0</v>
      </c>
      <c r="AA40" s="49">
        <v>0</v>
      </c>
      <c r="AB40" s="65">
        <v>0</v>
      </c>
      <c r="AC40" s="81">
        <v>0</v>
      </c>
      <c r="AD40" s="81">
        <v>0</v>
      </c>
      <c r="AE40" s="81">
        <v>0</v>
      </c>
      <c r="AF40" s="71">
        <f>SUM(J40:AE40)</f>
        <v>48.4</v>
      </c>
      <c r="AL40" s="29"/>
    </row>
    <row r="41" spans="7:38" ht="24" x14ac:dyDescent="0.3">
      <c r="G41" s="5">
        <v>27</v>
      </c>
      <c r="H41" s="2"/>
      <c r="I41" s="2" t="s">
        <v>104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>250*0.09</f>
        <v>22.5</v>
      </c>
      <c r="P41" s="24">
        <v>0</v>
      </c>
      <c r="Q41" s="24">
        <f>210*0.06</f>
        <v>12.6</v>
      </c>
      <c r="R41" s="24">
        <v>0</v>
      </c>
      <c r="S41" s="24">
        <f>230*0.04</f>
        <v>9.2000000000000011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44">
        <v>0</v>
      </c>
      <c r="AB41" s="23">
        <v>0</v>
      </c>
      <c r="AC41" s="82">
        <v>0</v>
      </c>
      <c r="AD41" s="82">
        <v>0</v>
      </c>
      <c r="AE41" s="82">
        <v>0</v>
      </c>
      <c r="AF41" s="72">
        <f>SUM(J41:AE41)</f>
        <v>44.300000000000004</v>
      </c>
      <c r="AL41" s="29"/>
    </row>
    <row r="42" spans="7:38" ht="24" x14ac:dyDescent="0.3">
      <c r="G42" s="5">
        <v>28</v>
      </c>
      <c r="H42" s="2"/>
      <c r="I42" s="2" t="s">
        <v>65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f>240*0.07</f>
        <v>16.8</v>
      </c>
      <c r="S42" s="24">
        <v>0</v>
      </c>
      <c r="T42" s="24">
        <v>0</v>
      </c>
      <c r="U42" s="24">
        <f>300*0.05</f>
        <v>15</v>
      </c>
      <c r="V42" s="24">
        <v>12</v>
      </c>
      <c r="W42" s="24">
        <v>0</v>
      </c>
      <c r="X42" s="24">
        <v>0</v>
      </c>
      <c r="Y42" s="24">
        <v>0</v>
      </c>
      <c r="Z42" s="24">
        <v>0</v>
      </c>
      <c r="AA42" s="44">
        <v>0</v>
      </c>
      <c r="AB42" s="23">
        <v>0</v>
      </c>
      <c r="AC42" s="82">
        <v>0</v>
      </c>
      <c r="AD42" s="82">
        <v>0</v>
      </c>
      <c r="AE42" s="82">
        <v>0</v>
      </c>
      <c r="AF42" s="72">
        <f>SUM(J42:AE42)</f>
        <v>43.8</v>
      </c>
      <c r="AL42" s="29"/>
    </row>
    <row r="43" spans="7:38" ht="24" x14ac:dyDescent="0.3">
      <c r="G43" s="5">
        <v>29</v>
      </c>
      <c r="H43" s="3"/>
      <c r="I43" s="2" t="s">
        <v>247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44">
        <v>0</v>
      </c>
      <c r="AB43" s="24">
        <v>0</v>
      </c>
      <c r="AC43" s="72">
        <v>0</v>
      </c>
      <c r="AD43" s="72">
        <v>0</v>
      </c>
      <c r="AE43" s="72">
        <f>520*0.08</f>
        <v>41.6</v>
      </c>
      <c r="AF43" s="72">
        <f>SUM(J43:AE43)</f>
        <v>41.6</v>
      </c>
      <c r="AL43" s="29"/>
    </row>
    <row r="44" spans="7:38" ht="24" x14ac:dyDescent="0.3">
      <c r="G44" s="5">
        <v>30</v>
      </c>
      <c r="H44" s="3"/>
      <c r="I44" s="2" t="s">
        <v>143</v>
      </c>
      <c r="J44" s="26">
        <v>0</v>
      </c>
      <c r="K44" s="26">
        <f>260*0.07</f>
        <v>18.200000000000003</v>
      </c>
      <c r="L44" s="24">
        <f>250*0.06</f>
        <v>15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44">
        <v>0</v>
      </c>
      <c r="AB44" s="23">
        <f>130*0.06</f>
        <v>7.8</v>
      </c>
      <c r="AC44" s="82">
        <v>0</v>
      </c>
      <c r="AD44" s="82">
        <v>0</v>
      </c>
      <c r="AE44" s="82">
        <v>0</v>
      </c>
      <c r="AF44" s="72">
        <f>SUM(J44:AE44)</f>
        <v>41</v>
      </c>
      <c r="AL44" s="29"/>
    </row>
    <row r="45" spans="7:38" ht="24" x14ac:dyDescent="0.3">
      <c r="G45" s="5">
        <v>31</v>
      </c>
      <c r="H45" s="3"/>
      <c r="I45" s="2" t="s">
        <v>4</v>
      </c>
      <c r="J45" s="24">
        <v>0</v>
      </c>
      <c r="K45" s="24">
        <v>0</v>
      </c>
      <c r="L45" s="24">
        <v>0</v>
      </c>
      <c r="M45" s="24">
        <f>270*0.07</f>
        <v>18.900000000000002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f>260*0.07</f>
        <v>18.200000000000003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44">
        <v>0</v>
      </c>
      <c r="AB45" s="23">
        <v>0</v>
      </c>
      <c r="AC45" s="82">
        <v>0</v>
      </c>
      <c r="AD45" s="82">
        <v>0</v>
      </c>
      <c r="AE45" s="82">
        <v>0</v>
      </c>
      <c r="AF45" s="72">
        <f>SUM(J45:AE45)</f>
        <v>37.100000000000009</v>
      </c>
      <c r="AL45" s="29"/>
    </row>
    <row r="46" spans="7:38" ht="24" x14ac:dyDescent="0.3">
      <c r="G46" s="5">
        <v>32</v>
      </c>
      <c r="H46" s="2"/>
      <c r="I46" s="2" t="s">
        <v>246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44">
        <v>0</v>
      </c>
      <c r="AB46" s="24">
        <v>0</v>
      </c>
      <c r="AC46" s="72">
        <v>0</v>
      </c>
      <c r="AD46" s="72">
        <v>0</v>
      </c>
      <c r="AE46" s="72">
        <f>520*0.07</f>
        <v>36.400000000000006</v>
      </c>
      <c r="AF46" s="72">
        <f>SUM(J46:AE46)</f>
        <v>36.400000000000006</v>
      </c>
      <c r="AL46" s="29"/>
    </row>
    <row r="47" spans="7:38" ht="24" x14ac:dyDescent="0.3">
      <c r="G47" s="5">
        <v>33</v>
      </c>
      <c r="H47" s="2"/>
      <c r="I47" s="2" t="s">
        <v>14</v>
      </c>
      <c r="J47" s="23">
        <f>300*0.04</f>
        <v>12</v>
      </c>
      <c r="K47" s="23">
        <v>0</v>
      </c>
      <c r="L47" s="24">
        <v>0</v>
      </c>
      <c r="M47" s="23">
        <v>0</v>
      </c>
      <c r="N47" s="23">
        <f>250*0.03</f>
        <v>7.5</v>
      </c>
      <c r="O47" s="23">
        <f>250*0.05</f>
        <v>12.5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45">
        <v>0</v>
      </c>
      <c r="AB47" s="23">
        <v>0</v>
      </c>
      <c r="AC47" s="82">
        <v>0</v>
      </c>
      <c r="AD47" s="82">
        <v>0</v>
      </c>
      <c r="AE47" s="82">
        <v>0</v>
      </c>
      <c r="AF47" s="72">
        <f>SUM(A47:AE47)</f>
        <v>65</v>
      </c>
      <c r="AL47" s="29"/>
    </row>
    <row r="48" spans="7:38" ht="24" x14ac:dyDescent="0.3">
      <c r="G48" s="5">
        <v>34</v>
      </c>
      <c r="H48" s="2"/>
      <c r="I48" s="2" t="s">
        <v>244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44">
        <v>0</v>
      </c>
      <c r="AB48" s="24">
        <v>0</v>
      </c>
      <c r="AC48" s="72">
        <v>0</v>
      </c>
      <c r="AD48" s="72">
        <v>0</v>
      </c>
      <c r="AE48" s="72">
        <f>520*0.06</f>
        <v>31.2</v>
      </c>
      <c r="AF48" s="72">
        <f>SUM(J48:AE48)</f>
        <v>31.2</v>
      </c>
      <c r="AL48" s="29"/>
    </row>
    <row r="49" spans="7:38" ht="24" x14ac:dyDescent="0.3">
      <c r="G49" s="5">
        <v>35</v>
      </c>
      <c r="H49" s="2"/>
      <c r="I49" s="2" t="s">
        <v>245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44">
        <v>0</v>
      </c>
      <c r="AB49" s="24">
        <v>0</v>
      </c>
      <c r="AC49" s="72">
        <v>0</v>
      </c>
      <c r="AD49" s="72">
        <v>0</v>
      </c>
      <c r="AE49" s="72">
        <f>520*0.06</f>
        <v>31.2</v>
      </c>
      <c r="AF49" s="72">
        <f>SUM(J49:AE49)</f>
        <v>31.2</v>
      </c>
      <c r="AL49" s="29"/>
    </row>
    <row r="50" spans="7:38" ht="24" x14ac:dyDescent="0.3">
      <c r="G50" s="5">
        <v>36</v>
      </c>
      <c r="H50" s="3"/>
      <c r="I50" s="2" t="s">
        <v>248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44">
        <v>0</v>
      </c>
      <c r="AB50" s="24">
        <v>0</v>
      </c>
      <c r="AC50" s="72">
        <v>0</v>
      </c>
      <c r="AD50" s="72">
        <v>0</v>
      </c>
      <c r="AE50" s="72">
        <f>520*0.06</f>
        <v>31.2</v>
      </c>
      <c r="AF50" s="72">
        <f>SUM(J50:AE50)</f>
        <v>31.2</v>
      </c>
      <c r="AL50" s="29"/>
    </row>
    <row r="51" spans="7:38" ht="24" x14ac:dyDescent="0.3">
      <c r="G51" s="5">
        <v>37</v>
      </c>
      <c r="H51" s="2"/>
      <c r="I51" s="2" t="s">
        <v>93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f>300*0.06</f>
        <v>18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44">
        <v>0</v>
      </c>
      <c r="AB51" s="23">
        <v>0</v>
      </c>
      <c r="AC51" s="72">
        <v>0</v>
      </c>
      <c r="AD51" s="82">
        <f>200*0.06</f>
        <v>12</v>
      </c>
      <c r="AE51" s="82">
        <v>0</v>
      </c>
      <c r="AF51" s="72">
        <f>SUM(J51:AE51)</f>
        <v>30</v>
      </c>
      <c r="AL51" s="29"/>
    </row>
    <row r="52" spans="7:38" ht="24" x14ac:dyDescent="0.3">
      <c r="G52" s="5">
        <v>38</v>
      </c>
      <c r="H52" s="2"/>
      <c r="I52" s="2" t="s">
        <v>30</v>
      </c>
      <c r="J52" s="24">
        <f>300*0.05</f>
        <v>15</v>
      </c>
      <c r="K52" s="24">
        <v>0</v>
      </c>
      <c r="L52" s="24">
        <v>0</v>
      </c>
      <c r="M52" s="24">
        <f>270*0.05</f>
        <v>13.5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44">
        <v>0</v>
      </c>
      <c r="AB52" s="23">
        <v>0</v>
      </c>
      <c r="AC52" s="82">
        <v>0</v>
      </c>
      <c r="AD52" s="82">
        <v>0</v>
      </c>
      <c r="AE52" s="82">
        <v>0</v>
      </c>
      <c r="AF52" s="72">
        <f>SUM(J52:AE52)</f>
        <v>28.5</v>
      </c>
      <c r="AL52" s="29"/>
    </row>
    <row r="53" spans="7:38" ht="24" x14ac:dyDescent="0.3">
      <c r="G53" s="5">
        <v>39</v>
      </c>
      <c r="H53" s="2"/>
      <c r="I53" s="2" t="s">
        <v>214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44">
        <v>0</v>
      </c>
      <c r="AB53" s="24">
        <f>130*0.06</f>
        <v>7.8</v>
      </c>
      <c r="AC53" s="72">
        <f>190*0.01</f>
        <v>1.9000000000000001</v>
      </c>
      <c r="AD53" s="91">
        <f>200*0.09</f>
        <v>18</v>
      </c>
      <c r="AE53" s="82">
        <v>0</v>
      </c>
      <c r="AF53" s="72">
        <f>SUM(J53:AE53)</f>
        <v>27.7</v>
      </c>
      <c r="AL53" s="29"/>
    </row>
    <row r="54" spans="7:38" ht="24" x14ac:dyDescent="0.3">
      <c r="G54" s="5">
        <v>40</v>
      </c>
      <c r="H54" s="2"/>
      <c r="I54" s="2" t="s">
        <v>243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44">
        <v>0</v>
      </c>
      <c r="AB54" s="24">
        <v>0</v>
      </c>
      <c r="AC54" s="72">
        <v>0</v>
      </c>
      <c r="AD54" s="72">
        <v>0</v>
      </c>
      <c r="AE54" s="72">
        <f>520*0.05</f>
        <v>26</v>
      </c>
      <c r="AF54" s="72">
        <f>SUM(J54:AE54)</f>
        <v>26</v>
      </c>
      <c r="AL54" s="29"/>
    </row>
    <row r="55" spans="7:38" ht="24" x14ac:dyDescent="0.3">
      <c r="G55" s="5">
        <v>41</v>
      </c>
      <c r="H55" s="2"/>
      <c r="I55" s="2" t="s">
        <v>120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>250*0.06</f>
        <v>15</v>
      </c>
      <c r="P55" s="24">
        <f>210*0.05</f>
        <v>10.5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44">
        <v>0</v>
      </c>
      <c r="AB55" s="23">
        <v>0</v>
      </c>
      <c r="AC55" s="82">
        <v>0</v>
      </c>
      <c r="AD55" s="82">
        <v>0</v>
      </c>
      <c r="AE55" s="82">
        <v>0</v>
      </c>
      <c r="AF55" s="72">
        <f>SUM(J55:AE55)</f>
        <v>25.5</v>
      </c>
      <c r="AL55" s="29"/>
    </row>
    <row r="56" spans="7:38" ht="24" x14ac:dyDescent="0.3">
      <c r="G56" s="5">
        <v>42</v>
      </c>
      <c r="H56" s="2"/>
      <c r="I56" s="2" t="s">
        <v>108</v>
      </c>
      <c r="J56" s="24">
        <v>0</v>
      </c>
      <c r="K56" s="24">
        <v>0</v>
      </c>
      <c r="L56" s="24">
        <v>0</v>
      </c>
      <c r="M56" s="24">
        <v>0</v>
      </c>
      <c r="N56" s="24">
        <f>250*0.01</f>
        <v>2.5</v>
      </c>
      <c r="O56" s="24">
        <f>250*0.04</f>
        <v>10</v>
      </c>
      <c r="P56" s="24">
        <v>0</v>
      </c>
      <c r="Q56" s="24">
        <v>0</v>
      </c>
      <c r="R56" s="24">
        <f>240*0.05</f>
        <v>12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44">
        <v>0</v>
      </c>
      <c r="AB56" s="23">
        <v>0</v>
      </c>
      <c r="AC56" s="82">
        <v>0</v>
      </c>
      <c r="AD56" s="82">
        <v>0</v>
      </c>
      <c r="AE56" s="82">
        <v>0</v>
      </c>
      <c r="AF56" s="72">
        <f>SUM(J56:AE56)</f>
        <v>24.5</v>
      </c>
    </row>
    <row r="57" spans="7:38" ht="24" x14ac:dyDescent="0.3">
      <c r="G57" s="5">
        <v>43</v>
      </c>
      <c r="H57" s="2"/>
      <c r="I57" s="2" t="s">
        <v>164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f>300*0.08</f>
        <v>24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44">
        <v>0</v>
      </c>
      <c r="AB57" s="23">
        <v>0</v>
      </c>
      <c r="AC57" s="82">
        <v>0</v>
      </c>
      <c r="AD57" s="82">
        <v>0</v>
      </c>
      <c r="AE57" s="82">
        <v>0</v>
      </c>
      <c r="AF57" s="72">
        <f>SUM(J57:AE57)</f>
        <v>24</v>
      </c>
    </row>
    <row r="58" spans="7:38" ht="24" x14ac:dyDescent="0.3">
      <c r="G58" s="5">
        <v>44</v>
      </c>
      <c r="H58" s="2"/>
      <c r="I58" s="2" t="s">
        <v>94</v>
      </c>
      <c r="J58" s="24">
        <v>0</v>
      </c>
      <c r="K58" s="24">
        <v>0</v>
      </c>
      <c r="L58" s="24">
        <f>250*0.06</f>
        <v>15</v>
      </c>
      <c r="M58" s="24">
        <v>0</v>
      </c>
      <c r="N58" s="24">
        <v>0</v>
      </c>
      <c r="O58" s="24">
        <f>250*0.01</f>
        <v>2.5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6</v>
      </c>
      <c r="W58" s="24">
        <v>0</v>
      </c>
      <c r="X58" s="24">
        <v>0</v>
      </c>
      <c r="Y58" s="24">
        <v>0</v>
      </c>
      <c r="Z58" s="24">
        <v>0</v>
      </c>
      <c r="AA58" s="44">
        <v>0</v>
      </c>
      <c r="AB58" s="23">
        <v>0</v>
      </c>
      <c r="AC58" s="82">
        <v>0</v>
      </c>
      <c r="AD58" s="82">
        <v>0</v>
      </c>
      <c r="AE58" s="82">
        <v>0</v>
      </c>
      <c r="AF58" s="72">
        <f>SUM(J58:AE58)</f>
        <v>23.5</v>
      </c>
    </row>
    <row r="59" spans="7:38" ht="24" x14ac:dyDescent="0.3">
      <c r="G59" s="5">
        <v>45</v>
      </c>
      <c r="H59" s="2"/>
      <c r="I59" s="3" t="s">
        <v>112</v>
      </c>
      <c r="J59" s="24">
        <v>0</v>
      </c>
      <c r="K59" s="24">
        <v>0</v>
      </c>
      <c r="L59" s="24">
        <v>0</v>
      </c>
      <c r="M59" s="24">
        <v>0</v>
      </c>
      <c r="N59" s="26">
        <f>250*0.05</f>
        <v>12.5</v>
      </c>
      <c r="O59" s="24">
        <v>0</v>
      </c>
      <c r="P59" s="24">
        <v>0</v>
      </c>
      <c r="Q59" s="24">
        <v>0</v>
      </c>
      <c r="R59" s="24">
        <v>0</v>
      </c>
      <c r="S59" s="24">
        <f>230*0.01</f>
        <v>2.3000000000000003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44">
        <f>170*0.05</f>
        <v>8.5</v>
      </c>
      <c r="AB59" s="23">
        <v>0</v>
      </c>
      <c r="AC59" s="82">
        <v>0</v>
      </c>
      <c r="AD59" s="82">
        <v>0</v>
      </c>
      <c r="AE59" s="82">
        <v>0</v>
      </c>
      <c r="AF59" s="72">
        <f>SUM(J59:AE59)</f>
        <v>23.3</v>
      </c>
    </row>
    <row r="60" spans="7:38" ht="24" x14ac:dyDescent="0.3">
      <c r="G60" s="5">
        <v>46</v>
      </c>
      <c r="H60" s="2"/>
      <c r="I60" s="2" t="s">
        <v>101</v>
      </c>
      <c r="J60" s="24">
        <v>0</v>
      </c>
      <c r="K60" s="24">
        <v>0</v>
      </c>
      <c r="L60" s="24">
        <v>0</v>
      </c>
      <c r="M60" s="24">
        <f>270*0.05</f>
        <v>13.5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44">
        <v>0</v>
      </c>
      <c r="AB60" s="23">
        <f>130*0.07</f>
        <v>9.1000000000000014</v>
      </c>
      <c r="AC60" s="72">
        <v>0</v>
      </c>
      <c r="AD60" s="82">
        <v>0</v>
      </c>
      <c r="AE60" s="82">
        <v>0</v>
      </c>
      <c r="AF60" s="72">
        <f>SUM(J60:AE60)</f>
        <v>22.6</v>
      </c>
    </row>
    <row r="61" spans="7:38" ht="24" x14ac:dyDescent="0.3">
      <c r="G61" s="5">
        <v>47</v>
      </c>
      <c r="H61" s="2"/>
      <c r="I61" s="2" t="s">
        <v>83</v>
      </c>
      <c r="J61" s="24">
        <v>0</v>
      </c>
      <c r="K61" s="24">
        <v>0</v>
      </c>
      <c r="L61" s="24">
        <f>250*0.09</f>
        <v>22.5</v>
      </c>
      <c r="M61" s="24">
        <v>0</v>
      </c>
      <c r="N61" s="26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44">
        <v>0</v>
      </c>
      <c r="AB61" s="23">
        <v>0</v>
      </c>
      <c r="AC61" s="82">
        <v>0</v>
      </c>
      <c r="AD61" s="82">
        <v>0</v>
      </c>
      <c r="AE61" s="82">
        <v>0</v>
      </c>
      <c r="AF61" s="72">
        <f>SUM(J61:AE61)</f>
        <v>22.5</v>
      </c>
    </row>
    <row r="62" spans="7:38" ht="24" x14ac:dyDescent="0.3">
      <c r="G62" s="5">
        <v>48</v>
      </c>
      <c r="H62" s="2"/>
      <c r="I62" s="2" t="s">
        <v>156</v>
      </c>
      <c r="J62" s="24">
        <v>0</v>
      </c>
      <c r="K62" s="24">
        <v>0</v>
      </c>
      <c r="L62" s="24">
        <f>250*0.01</f>
        <v>2.5</v>
      </c>
      <c r="M62" s="24">
        <v>0</v>
      </c>
      <c r="N62" s="23">
        <v>0</v>
      </c>
      <c r="O62" s="24">
        <f>250*0.08</f>
        <v>20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44">
        <v>0</v>
      </c>
      <c r="AB62" s="23">
        <v>0</v>
      </c>
      <c r="AC62" s="82">
        <v>0</v>
      </c>
      <c r="AD62" s="82">
        <v>0</v>
      </c>
      <c r="AE62" s="82">
        <v>0</v>
      </c>
      <c r="AF62" s="72">
        <f>SUM(J62:AE62)</f>
        <v>22.5</v>
      </c>
    </row>
    <row r="63" spans="7:38" ht="24" x14ac:dyDescent="0.3">
      <c r="G63" s="5">
        <v>49</v>
      </c>
      <c r="H63" s="2"/>
      <c r="I63" s="60" t="s">
        <v>201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f>250*0.09</f>
        <v>22.5</v>
      </c>
      <c r="Z63" s="24">
        <v>0</v>
      </c>
      <c r="AA63" s="44">
        <v>0</v>
      </c>
      <c r="AB63" s="23">
        <v>0</v>
      </c>
      <c r="AC63" s="82">
        <v>0</v>
      </c>
      <c r="AD63" s="82">
        <v>0</v>
      </c>
      <c r="AE63" s="82">
        <v>0</v>
      </c>
      <c r="AF63" s="72">
        <f>SUM(J63:AE63)</f>
        <v>22.5</v>
      </c>
    </row>
    <row r="64" spans="7:38" ht="24" x14ac:dyDescent="0.3">
      <c r="G64" s="5">
        <v>50</v>
      </c>
      <c r="H64" s="2"/>
      <c r="I64" s="2" t="s">
        <v>105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f>260*0.04</f>
        <v>10.4</v>
      </c>
      <c r="U64" s="24">
        <f>300*0.04</f>
        <v>12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44">
        <v>0</v>
      </c>
      <c r="AB64" s="23">
        <v>0</v>
      </c>
      <c r="AC64" s="82">
        <v>0</v>
      </c>
      <c r="AD64" s="82">
        <v>0</v>
      </c>
      <c r="AE64" s="82">
        <v>0</v>
      </c>
      <c r="AF64" s="72">
        <f>SUM(J64:AE64)</f>
        <v>22.4</v>
      </c>
    </row>
    <row r="65" spans="7:32" ht="24" x14ac:dyDescent="0.3">
      <c r="G65" s="5">
        <v>51</v>
      </c>
      <c r="H65" s="2"/>
      <c r="I65" s="2" t="s">
        <v>160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f>230*0.03</f>
        <v>6.8999999999999995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f>250*0.06</f>
        <v>15</v>
      </c>
      <c r="Z65" s="24">
        <v>0</v>
      </c>
      <c r="AA65" s="44">
        <v>0</v>
      </c>
      <c r="AB65" s="23">
        <v>0</v>
      </c>
      <c r="AC65" s="82">
        <v>0</v>
      </c>
      <c r="AD65" s="82">
        <v>0</v>
      </c>
      <c r="AE65" s="82">
        <v>0</v>
      </c>
      <c r="AF65" s="72">
        <f>SUM(J65:AE65)</f>
        <v>21.9</v>
      </c>
    </row>
    <row r="66" spans="7:32" ht="24" x14ac:dyDescent="0.3">
      <c r="G66" s="5">
        <v>52</v>
      </c>
      <c r="H66" s="2"/>
      <c r="I66" s="2" t="s">
        <v>141</v>
      </c>
      <c r="J66" s="24">
        <v>0</v>
      </c>
      <c r="K66" s="24">
        <v>0</v>
      </c>
      <c r="L66" s="24">
        <v>0</v>
      </c>
      <c r="M66" s="24">
        <f>270*0.08</f>
        <v>21.6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44">
        <v>0</v>
      </c>
      <c r="AB66" s="23">
        <v>0</v>
      </c>
      <c r="AC66" s="82">
        <v>0</v>
      </c>
      <c r="AD66" s="82">
        <v>0</v>
      </c>
      <c r="AE66" s="82">
        <v>0</v>
      </c>
      <c r="AF66" s="72">
        <f>SUM(J66:AE66)</f>
        <v>21.6</v>
      </c>
    </row>
    <row r="67" spans="7:32" ht="24" x14ac:dyDescent="0.3">
      <c r="G67" s="5">
        <v>53</v>
      </c>
      <c r="H67" s="2"/>
      <c r="I67" s="2" t="s">
        <v>163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f>240*0.04</f>
        <v>9.6</v>
      </c>
      <c r="S67" s="24">
        <f>230*0.05</f>
        <v>11.5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44">
        <v>0</v>
      </c>
      <c r="AB67" s="23">
        <v>0</v>
      </c>
      <c r="AC67" s="82">
        <v>0</v>
      </c>
      <c r="AD67" s="82">
        <v>0</v>
      </c>
      <c r="AE67" s="82">
        <v>0</v>
      </c>
      <c r="AF67" s="72">
        <f>SUM(J67:AE67)</f>
        <v>21.1</v>
      </c>
    </row>
    <row r="68" spans="7:32" ht="24" x14ac:dyDescent="0.3">
      <c r="G68" s="5">
        <v>54</v>
      </c>
      <c r="H68" s="2"/>
      <c r="I68" s="2" t="s">
        <v>7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f>300*0.07</f>
        <v>21.000000000000004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44">
        <v>0</v>
      </c>
      <c r="AB68" s="23">
        <v>0</v>
      </c>
      <c r="AC68" s="82">
        <v>0</v>
      </c>
      <c r="AD68" s="82">
        <v>0</v>
      </c>
      <c r="AE68" s="82">
        <v>0</v>
      </c>
      <c r="AF68" s="72">
        <f>SUM(J68:AE68)</f>
        <v>21.000000000000004</v>
      </c>
    </row>
    <row r="69" spans="7:32" ht="24" x14ac:dyDescent="0.3">
      <c r="G69" s="5">
        <v>55</v>
      </c>
      <c r="H69" s="2"/>
      <c r="I69" s="2" t="s">
        <v>33</v>
      </c>
      <c r="J69" s="24">
        <v>0</v>
      </c>
      <c r="K69" s="24">
        <v>0</v>
      </c>
      <c r="L69" s="24">
        <v>0</v>
      </c>
      <c r="M69" s="24">
        <f>270*0.04</f>
        <v>10.8</v>
      </c>
      <c r="N69" s="24">
        <v>0</v>
      </c>
      <c r="O69" s="24">
        <v>0</v>
      </c>
      <c r="P69" s="24">
        <f>210*0.02</f>
        <v>4.2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6</v>
      </c>
      <c r="W69" s="24">
        <v>0</v>
      </c>
      <c r="X69" s="24">
        <v>0</v>
      </c>
      <c r="Y69" s="24">
        <v>0</v>
      </c>
      <c r="Z69" s="24">
        <v>0</v>
      </c>
      <c r="AA69" s="44">
        <v>0</v>
      </c>
      <c r="AB69" s="23">
        <v>0</v>
      </c>
      <c r="AC69" s="82">
        <v>0</v>
      </c>
      <c r="AD69" s="82">
        <v>0</v>
      </c>
      <c r="AE69" s="82">
        <v>0</v>
      </c>
      <c r="AF69" s="72">
        <f>SUM(J69:AE69)</f>
        <v>21</v>
      </c>
    </row>
    <row r="70" spans="7:32" ht="24" x14ac:dyDescent="0.3">
      <c r="G70" s="5">
        <v>56</v>
      </c>
      <c r="H70" s="2"/>
      <c r="I70" s="2" t="s">
        <v>149</v>
      </c>
      <c r="J70" s="24">
        <v>0</v>
      </c>
      <c r="K70" s="24">
        <f>260*0.06</f>
        <v>15.6</v>
      </c>
      <c r="L70" s="24">
        <v>0</v>
      </c>
      <c r="M70" s="24">
        <f>270*0.01</f>
        <v>2.7</v>
      </c>
      <c r="N70" s="26">
        <v>0</v>
      </c>
      <c r="O70" s="24">
        <f>250*0.01</f>
        <v>2.5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44">
        <v>0</v>
      </c>
      <c r="AB70" s="23">
        <v>0</v>
      </c>
      <c r="AC70" s="82">
        <v>0</v>
      </c>
      <c r="AD70" s="82">
        <v>0</v>
      </c>
      <c r="AE70" s="82">
        <v>0</v>
      </c>
      <c r="AF70" s="72">
        <f>SUM(J70:AE70)</f>
        <v>20.8</v>
      </c>
    </row>
    <row r="71" spans="7:32" ht="24" x14ac:dyDescent="0.3">
      <c r="G71" s="5">
        <v>57</v>
      </c>
      <c r="H71" s="2"/>
      <c r="I71" s="2" t="s">
        <v>241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44">
        <v>0</v>
      </c>
      <c r="AB71" s="24">
        <v>0</v>
      </c>
      <c r="AC71" s="72">
        <v>0</v>
      </c>
      <c r="AD71" s="72">
        <v>0</v>
      </c>
      <c r="AE71" s="72">
        <f>520*0.04</f>
        <v>20.8</v>
      </c>
      <c r="AF71" s="72">
        <f>SUM(J71:AE71)</f>
        <v>20.8</v>
      </c>
    </row>
    <row r="72" spans="7:32" ht="24" x14ac:dyDescent="0.3">
      <c r="G72" s="5">
        <v>58</v>
      </c>
      <c r="H72" s="2"/>
      <c r="I72" s="2" t="s">
        <v>242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44">
        <v>0</v>
      </c>
      <c r="AB72" s="24">
        <v>0</v>
      </c>
      <c r="AC72" s="72">
        <v>0</v>
      </c>
      <c r="AD72" s="72">
        <v>0</v>
      </c>
      <c r="AE72" s="72">
        <f>520*0.04</f>
        <v>20.8</v>
      </c>
      <c r="AF72" s="72">
        <f>SUM(J72:AE72)</f>
        <v>20.8</v>
      </c>
    </row>
    <row r="73" spans="7:32" ht="24" x14ac:dyDescent="0.3">
      <c r="G73" s="5">
        <v>59</v>
      </c>
      <c r="H73" s="2"/>
      <c r="I73" s="2" t="s">
        <v>126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f>230*0.09</f>
        <v>20.7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44">
        <v>0</v>
      </c>
      <c r="AB73" s="23">
        <v>0</v>
      </c>
      <c r="AC73" s="72">
        <v>0</v>
      </c>
      <c r="AD73" s="82">
        <v>0</v>
      </c>
      <c r="AE73" s="82">
        <v>0</v>
      </c>
      <c r="AF73" s="72">
        <f>SUM(J73:AE73)</f>
        <v>20.7</v>
      </c>
    </row>
    <row r="74" spans="7:32" ht="24" x14ac:dyDescent="0.3">
      <c r="G74" s="5">
        <v>60</v>
      </c>
      <c r="H74" s="2"/>
      <c r="I74" s="2" t="s">
        <v>52</v>
      </c>
      <c r="J74" s="24">
        <v>0</v>
      </c>
      <c r="K74" s="24">
        <v>0</v>
      </c>
      <c r="L74" s="24">
        <v>0</v>
      </c>
      <c r="M74" s="24">
        <v>0</v>
      </c>
      <c r="N74" s="24">
        <f>250*0.08</f>
        <v>20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44">
        <v>0</v>
      </c>
      <c r="AB74" s="23">
        <v>0</v>
      </c>
      <c r="AC74" s="72">
        <v>0</v>
      </c>
      <c r="AD74" s="82">
        <v>0</v>
      </c>
      <c r="AE74" s="82">
        <v>0</v>
      </c>
      <c r="AF74" s="72">
        <f>SUM(J74:AE74)</f>
        <v>20</v>
      </c>
    </row>
    <row r="75" spans="7:32" ht="24" x14ac:dyDescent="0.3">
      <c r="G75" s="5">
        <v>61</v>
      </c>
      <c r="H75" s="2"/>
      <c r="I75" s="3" t="s">
        <v>59</v>
      </c>
      <c r="J75" s="24">
        <v>0</v>
      </c>
      <c r="K75" s="24">
        <v>0</v>
      </c>
      <c r="L75" s="24">
        <v>0</v>
      </c>
      <c r="M75" s="24">
        <v>0</v>
      </c>
      <c r="N75" s="24">
        <f>250*0.07</f>
        <v>17.5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f>250*0.01</f>
        <v>2.5</v>
      </c>
      <c r="Z75" s="24">
        <v>0</v>
      </c>
      <c r="AA75" s="44">
        <v>0</v>
      </c>
      <c r="AB75" s="23">
        <v>0</v>
      </c>
      <c r="AC75" s="72">
        <v>0</v>
      </c>
      <c r="AD75" s="82">
        <v>0</v>
      </c>
      <c r="AE75" s="82">
        <v>0</v>
      </c>
      <c r="AF75" s="72">
        <f>SUM(J75:AE75)</f>
        <v>20</v>
      </c>
    </row>
    <row r="76" spans="7:32" ht="24" x14ac:dyDescent="0.3">
      <c r="G76" s="5">
        <v>62</v>
      </c>
      <c r="H76" s="2"/>
      <c r="I76" s="2" t="s">
        <v>74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f>210*0.09</f>
        <v>18.899999999999999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44">
        <v>0</v>
      </c>
      <c r="AB76" s="23">
        <v>0</v>
      </c>
      <c r="AC76" s="72">
        <v>0</v>
      </c>
      <c r="AD76" s="82">
        <v>0</v>
      </c>
      <c r="AE76" s="82">
        <v>0</v>
      </c>
      <c r="AF76" s="72">
        <f>SUM(J76:AE76)</f>
        <v>18.899999999999999</v>
      </c>
    </row>
    <row r="77" spans="7:32" ht="24" x14ac:dyDescent="0.3">
      <c r="G77" s="5">
        <v>63</v>
      </c>
      <c r="H77" s="2"/>
      <c r="I77" s="3" t="s">
        <v>82</v>
      </c>
      <c r="J77" s="24">
        <v>0</v>
      </c>
      <c r="K77" s="24">
        <f>260*0.01</f>
        <v>2.6</v>
      </c>
      <c r="L77" s="24">
        <v>0</v>
      </c>
      <c r="M77" s="24">
        <v>0</v>
      </c>
      <c r="N77" s="23">
        <v>0</v>
      </c>
      <c r="O77" s="23">
        <v>0</v>
      </c>
      <c r="P77" s="24">
        <v>0</v>
      </c>
      <c r="Q77" s="24">
        <v>0</v>
      </c>
      <c r="R77" s="24">
        <f>240*0.01</f>
        <v>2.4</v>
      </c>
      <c r="S77" s="24">
        <f>230*0.06</f>
        <v>13.799999999999999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44">
        <v>0</v>
      </c>
      <c r="AB77" s="23">
        <v>0</v>
      </c>
      <c r="AC77" s="72">
        <v>0</v>
      </c>
      <c r="AD77" s="82">
        <v>0</v>
      </c>
      <c r="AE77" s="82">
        <v>0</v>
      </c>
      <c r="AF77" s="72">
        <f>SUM(J77:AE77)</f>
        <v>18.799999999999997</v>
      </c>
    </row>
    <row r="78" spans="7:32" ht="24" x14ac:dyDescent="0.3">
      <c r="G78" s="5">
        <v>64</v>
      </c>
      <c r="H78" s="2"/>
      <c r="I78" s="2" t="s">
        <v>36</v>
      </c>
      <c r="J78" s="24">
        <v>0</v>
      </c>
      <c r="K78" s="24">
        <f>260*0.06</f>
        <v>15.6</v>
      </c>
      <c r="L78" s="24">
        <f>250*0.01</f>
        <v>2.5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44">
        <v>0</v>
      </c>
      <c r="AB78" s="23">
        <v>0</v>
      </c>
      <c r="AC78" s="72">
        <v>0</v>
      </c>
      <c r="AD78" s="82">
        <v>0</v>
      </c>
      <c r="AE78" s="82">
        <v>0</v>
      </c>
      <c r="AF78" s="72">
        <f>SUM(J78:AE78)</f>
        <v>18.100000000000001</v>
      </c>
    </row>
    <row r="79" spans="7:32" ht="24" x14ac:dyDescent="0.3">
      <c r="G79" s="5">
        <v>65</v>
      </c>
      <c r="H79" s="2"/>
      <c r="I79" s="2" t="s">
        <v>35</v>
      </c>
      <c r="J79" s="23">
        <v>0</v>
      </c>
      <c r="K79" s="23">
        <v>0</v>
      </c>
      <c r="L79" s="23">
        <f>250*0.01</f>
        <v>2.5</v>
      </c>
      <c r="M79" s="23">
        <f>270*0.03</f>
        <v>8.1</v>
      </c>
      <c r="N79" s="24">
        <f>250*0.02</f>
        <v>5</v>
      </c>
      <c r="O79" s="23">
        <f>250*0.01</f>
        <v>2.5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44">
        <v>0</v>
      </c>
      <c r="AB79" s="23">
        <v>0</v>
      </c>
      <c r="AC79" s="72">
        <v>0</v>
      </c>
      <c r="AD79" s="93">
        <v>0</v>
      </c>
      <c r="AE79" s="82">
        <v>0</v>
      </c>
      <c r="AF79" s="72">
        <f>SUM(J79:AE79)</f>
        <v>18.100000000000001</v>
      </c>
    </row>
    <row r="80" spans="7:32" ht="24" x14ac:dyDescent="0.3">
      <c r="G80" s="5">
        <v>66</v>
      </c>
      <c r="H80" s="2"/>
      <c r="I80" s="2" t="s">
        <v>162</v>
      </c>
      <c r="J80" s="24">
        <f>300*0.06</f>
        <v>18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44">
        <v>0</v>
      </c>
      <c r="AB80" s="23">
        <v>0</v>
      </c>
      <c r="AC80" s="72">
        <v>0</v>
      </c>
      <c r="AD80" s="93">
        <v>0</v>
      </c>
      <c r="AE80" s="82">
        <v>0</v>
      </c>
      <c r="AF80" s="72">
        <f>SUM(J80:AE80)</f>
        <v>18</v>
      </c>
    </row>
    <row r="81" spans="7:32" ht="24" x14ac:dyDescent="0.3">
      <c r="G81" s="5">
        <v>67</v>
      </c>
      <c r="H81" s="2"/>
      <c r="I81" s="2" t="s">
        <v>114</v>
      </c>
      <c r="J81" s="24">
        <f>300*0.06</f>
        <v>18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44">
        <v>0</v>
      </c>
      <c r="AB81" s="23">
        <v>0</v>
      </c>
      <c r="AC81" s="72">
        <v>0</v>
      </c>
      <c r="AD81" s="93">
        <v>0</v>
      </c>
      <c r="AE81" s="82">
        <v>0</v>
      </c>
      <c r="AF81" s="72">
        <f>SUM(J81:AE81)</f>
        <v>18</v>
      </c>
    </row>
    <row r="82" spans="7:32" ht="24" x14ac:dyDescent="0.3">
      <c r="G82" s="5">
        <v>68</v>
      </c>
      <c r="H82" s="2"/>
      <c r="I82" s="60" t="s">
        <v>200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f>250*0.07</f>
        <v>17.5</v>
      </c>
      <c r="Z82" s="24">
        <v>0</v>
      </c>
      <c r="AA82" s="44">
        <v>0</v>
      </c>
      <c r="AB82" s="23">
        <v>0</v>
      </c>
      <c r="AC82" s="72">
        <v>0</v>
      </c>
      <c r="AD82" s="93">
        <v>0</v>
      </c>
      <c r="AE82" s="82">
        <v>0</v>
      </c>
      <c r="AF82" s="72">
        <f>SUM(J82:AE82)</f>
        <v>17.5</v>
      </c>
    </row>
    <row r="83" spans="7:32" ht="24" x14ac:dyDescent="0.3">
      <c r="G83" s="5">
        <v>69</v>
      </c>
      <c r="H83" s="2"/>
      <c r="I83" s="2" t="s">
        <v>26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f>240*0.01</f>
        <v>2.4</v>
      </c>
      <c r="S83" s="24">
        <v>0</v>
      </c>
      <c r="T83" s="24">
        <v>0</v>
      </c>
      <c r="U83" s="24">
        <v>0</v>
      </c>
      <c r="V83" s="24">
        <v>10</v>
      </c>
      <c r="W83" s="24">
        <v>0</v>
      </c>
      <c r="X83" s="24">
        <v>0</v>
      </c>
      <c r="Y83" s="24">
        <v>0</v>
      </c>
      <c r="Z83" s="24">
        <v>0</v>
      </c>
      <c r="AA83" s="44">
        <f>170*0.03</f>
        <v>5.0999999999999996</v>
      </c>
      <c r="AB83" s="23">
        <v>0</v>
      </c>
      <c r="AC83" s="72">
        <v>0</v>
      </c>
      <c r="AD83" s="93">
        <v>0</v>
      </c>
      <c r="AE83" s="82">
        <v>0</v>
      </c>
      <c r="AF83" s="72">
        <f>SUM(J83:AE83)</f>
        <v>17.5</v>
      </c>
    </row>
    <row r="84" spans="7:32" ht="24" x14ac:dyDescent="0.3">
      <c r="G84" s="5">
        <v>70</v>
      </c>
      <c r="H84" s="2"/>
      <c r="I84" s="3" t="s">
        <v>102</v>
      </c>
      <c r="J84" s="24">
        <v>0</v>
      </c>
      <c r="K84" s="24">
        <v>0</v>
      </c>
      <c r="L84" s="24">
        <v>0</v>
      </c>
      <c r="M84" s="24">
        <f>270*0.01</f>
        <v>2.7</v>
      </c>
      <c r="N84" s="23">
        <v>0</v>
      </c>
      <c r="O84" s="23">
        <v>0</v>
      </c>
      <c r="P84" s="24">
        <v>0</v>
      </c>
      <c r="Q84" s="24">
        <f>210*0.06</f>
        <v>12.6</v>
      </c>
      <c r="R84" s="24">
        <v>0</v>
      </c>
      <c r="S84" s="24">
        <v>0</v>
      </c>
      <c r="T84" s="24">
        <v>0</v>
      </c>
      <c r="U84" s="24">
        <v>0</v>
      </c>
      <c r="V84" s="24">
        <v>2</v>
      </c>
      <c r="W84" s="24">
        <v>0</v>
      </c>
      <c r="X84" s="24">
        <v>0</v>
      </c>
      <c r="Y84" s="24">
        <v>0</v>
      </c>
      <c r="Z84" s="24">
        <v>0</v>
      </c>
      <c r="AA84" s="44">
        <v>0</v>
      </c>
      <c r="AB84" s="23">
        <v>0</v>
      </c>
      <c r="AC84" s="72">
        <v>0</v>
      </c>
      <c r="AD84" s="93">
        <v>0</v>
      </c>
      <c r="AE84" s="82">
        <v>0</v>
      </c>
      <c r="AF84" s="72">
        <f>SUM(J84:AE84)</f>
        <v>17.3</v>
      </c>
    </row>
    <row r="85" spans="7:32" ht="24" x14ac:dyDescent="0.3">
      <c r="G85" s="5">
        <v>71</v>
      </c>
      <c r="H85" s="2"/>
      <c r="I85" s="2" t="s">
        <v>100</v>
      </c>
      <c r="J85" s="24">
        <v>0</v>
      </c>
      <c r="K85" s="24">
        <v>0</v>
      </c>
      <c r="L85" s="24">
        <v>0</v>
      </c>
      <c r="M85" s="24">
        <v>0</v>
      </c>
      <c r="N85" s="24">
        <f>250*0.06</f>
        <v>15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f>220*0.01</f>
        <v>2.2000000000000002</v>
      </c>
      <c r="Y85" s="24">
        <v>0</v>
      </c>
      <c r="Z85" s="24">
        <v>0</v>
      </c>
      <c r="AA85" s="44">
        <v>0</v>
      </c>
      <c r="AB85" s="23">
        <v>0</v>
      </c>
      <c r="AC85" s="72">
        <v>0</v>
      </c>
      <c r="AD85" s="93">
        <v>0</v>
      </c>
      <c r="AE85" s="82">
        <v>0</v>
      </c>
      <c r="AF85" s="72">
        <f>SUM(J85:AE85)</f>
        <v>17.2</v>
      </c>
    </row>
    <row r="86" spans="7:32" ht="24" x14ac:dyDescent="0.3">
      <c r="G86" s="5">
        <v>72</v>
      </c>
      <c r="H86" s="2"/>
      <c r="I86" s="2" t="s">
        <v>103</v>
      </c>
      <c r="J86" s="23">
        <v>0</v>
      </c>
      <c r="K86" s="23">
        <f>260*0.03</f>
        <v>7.8</v>
      </c>
      <c r="L86" s="23">
        <v>0</v>
      </c>
      <c r="M86" s="23">
        <v>0</v>
      </c>
      <c r="N86" s="23">
        <v>0</v>
      </c>
      <c r="O86" s="24">
        <v>0</v>
      </c>
      <c r="P86" s="24">
        <v>0</v>
      </c>
      <c r="Q86" s="24">
        <v>0</v>
      </c>
      <c r="R86" s="24">
        <v>0</v>
      </c>
      <c r="S86" s="24">
        <f>230*0.04</f>
        <v>9.2000000000000011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44">
        <v>0</v>
      </c>
      <c r="AB86" s="23">
        <v>0</v>
      </c>
      <c r="AC86" s="72">
        <v>0</v>
      </c>
      <c r="AD86" s="93">
        <v>0</v>
      </c>
      <c r="AE86" s="82">
        <v>0</v>
      </c>
      <c r="AF86" s="72">
        <f>SUM(J86:AE86)</f>
        <v>17</v>
      </c>
    </row>
    <row r="87" spans="7:32" ht="24" x14ac:dyDescent="0.3">
      <c r="G87" s="5">
        <v>73</v>
      </c>
      <c r="H87" s="2"/>
      <c r="I87" s="2" t="s">
        <v>176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f>170*0.03</f>
        <v>5.0999999999999996</v>
      </c>
      <c r="X87" s="24">
        <v>0</v>
      </c>
      <c r="Y87" s="24">
        <v>0</v>
      </c>
      <c r="Z87" s="24">
        <v>0</v>
      </c>
      <c r="AA87" s="44">
        <v>0</v>
      </c>
      <c r="AB87" s="23">
        <v>0</v>
      </c>
      <c r="AC87" s="82">
        <f>190*0.06</f>
        <v>11.4</v>
      </c>
      <c r="AD87" s="93">
        <v>0</v>
      </c>
      <c r="AE87" s="23">
        <v>0</v>
      </c>
      <c r="AF87" s="72">
        <f>SUM(J87:AE87)</f>
        <v>16.5</v>
      </c>
    </row>
    <row r="88" spans="7:32" ht="24" x14ac:dyDescent="0.3">
      <c r="G88" s="5">
        <v>74</v>
      </c>
      <c r="H88" s="2"/>
      <c r="I88" s="2" t="s">
        <v>91</v>
      </c>
      <c r="J88" s="24">
        <v>0</v>
      </c>
      <c r="K88" s="24">
        <v>0</v>
      </c>
      <c r="L88" s="24">
        <v>0</v>
      </c>
      <c r="M88" s="24">
        <f>270*0.06</f>
        <v>16.2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44">
        <v>0</v>
      </c>
      <c r="AB88" s="23">
        <v>0</v>
      </c>
      <c r="AC88" s="72">
        <v>0</v>
      </c>
      <c r="AD88" s="93">
        <v>0</v>
      </c>
      <c r="AE88" s="23">
        <v>0</v>
      </c>
      <c r="AF88" s="72">
        <f>SUM(J88:AE88)</f>
        <v>16.2</v>
      </c>
    </row>
    <row r="89" spans="7:32" ht="24" x14ac:dyDescent="0.3">
      <c r="G89" s="5">
        <v>75</v>
      </c>
      <c r="H89" s="2"/>
      <c r="I89" s="2" t="s">
        <v>132</v>
      </c>
      <c r="J89" s="24">
        <v>0</v>
      </c>
      <c r="K89" s="24">
        <v>0</v>
      </c>
      <c r="L89" s="24">
        <v>0</v>
      </c>
      <c r="M89" s="24">
        <v>0</v>
      </c>
      <c r="N89" s="24">
        <f>250*0.04</f>
        <v>10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44">
        <v>0</v>
      </c>
      <c r="AB89" s="23">
        <v>0</v>
      </c>
      <c r="AC89" s="82">
        <f>190*0.03</f>
        <v>5.7</v>
      </c>
      <c r="AD89" s="90">
        <v>0</v>
      </c>
      <c r="AE89" s="23">
        <v>0</v>
      </c>
      <c r="AF89" s="72">
        <f>SUM(J89:AE89)</f>
        <v>15.7</v>
      </c>
    </row>
    <row r="90" spans="7:32" ht="24" x14ac:dyDescent="0.3">
      <c r="G90" s="5">
        <v>76</v>
      </c>
      <c r="H90" s="2"/>
      <c r="I90" s="2" t="s">
        <v>240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44">
        <v>0</v>
      </c>
      <c r="AB90" s="24">
        <v>0</v>
      </c>
      <c r="AC90" s="72">
        <v>0</v>
      </c>
      <c r="AD90" s="102">
        <v>0</v>
      </c>
      <c r="AE90" s="24">
        <f>520*0.03</f>
        <v>15.6</v>
      </c>
      <c r="AF90" s="72">
        <f>SUM(J90:AE90)</f>
        <v>15.6</v>
      </c>
    </row>
    <row r="91" spans="7:32" ht="24" x14ac:dyDescent="0.3">
      <c r="G91" s="5">
        <v>77</v>
      </c>
      <c r="H91" s="2"/>
      <c r="I91" s="60" t="s">
        <v>192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f>220*0.07</f>
        <v>15.400000000000002</v>
      </c>
      <c r="Y91" s="24">
        <v>0</v>
      </c>
      <c r="Z91" s="24">
        <v>0</v>
      </c>
      <c r="AA91" s="44">
        <v>0</v>
      </c>
      <c r="AB91" s="23">
        <v>0</v>
      </c>
      <c r="AC91" s="72">
        <v>0</v>
      </c>
      <c r="AD91" s="90">
        <v>0</v>
      </c>
      <c r="AE91" s="23">
        <v>0</v>
      </c>
      <c r="AF91" s="72">
        <f>SUM(J91:AE91)</f>
        <v>15.400000000000002</v>
      </c>
    </row>
    <row r="92" spans="7:32" ht="24" x14ac:dyDescent="0.3">
      <c r="G92" s="5">
        <v>78</v>
      </c>
      <c r="H92" s="2"/>
      <c r="I92" s="2" t="s">
        <v>113</v>
      </c>
      <c r="J92" s="24">
        <v>0</v>
      </c>
      <c r="K92" s="24">
        <v>0</v>
      </c>
      <c r="L92" s="24">
        <f>250*0.06</f>
        <v>15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44">
        <v>0</v>
      </c>
      <c r="AB92" s="23">
        <v>0</v>
      </c>
      <c r="AC92" s="72">
        <v>0</v>
      </c>
      <c r="AD92" s="90">
        <v>0</v>
      </c>
      <c r="AE92" s="23">
        <v>0</v>
      </c>
      <c r="AF92" s="72">
        <f>SUM(J92:AE92)</f>
        <v>15</v>
      </c>
    </row>
    <row r="93" spans="7:32" ht="24" x14ac:dyDescent="0.3">
      <c r="G93" s="5">
        <v>79</v>
      </c>
      <c r="H93" s="2"/>
      <c r="I93" s="60" t="s">
        <v>198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f>250*0.06</f>
        <v>15</v>
      </c>
      <c r="Z93" s="24">
        <v>0</v>
      </c>
      <c r="AA93" s="44">
        <v>0</v>
      </c>
      <c r="AB93" s="23">
        <v>0</v>
      </c>
      <c r="AC93" s="72">
        <v>0</v>
      </c>
      <c r="AD93" s="90">
        <v>0</v>
      </c>
      <c r="AE93" s="23">
        <v>0</v>
      </c>
      <c r="AF93" s="72">
        <f>SUM(J93:AE93)</f>
        <v>15</v>
      </c>
    </row>
    <row r="94" spans="7:32" ht="24" x14ac:dyDescent="0.3">
      <c r="G94" s="5">
        <v>80</v>
      </c>
      <c r="H94" s="2"/>
      <c r="I94" s="60" t="s">
        <v>199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f>250*0.06</f>
        <v>15</v>
      </c>
      <c r="Z94" s="24">
        <v>0</v>
      </c>
      <c r="AA94" s="44">
        <v>0</v>
      </c>
      <c r="AB94" s="23">
        <v>0</v>
      </c>
      <c r="AC94" s="72">
        <v>0</v>
      </c>
      <c r="AD94" s="90">
        <v>0</v>
      </c>
      <c r="AE94" s="23">
        <v>0</v>
      </c>
      <c r="AF94" s="72">
        <f>SUM(J94:AE94)</f>
        <v>15</v>
      </c>
    </row>
    <row r="95" spans="7:32" ht="24" x14ac:dyDescent="0.3">
      <c r="G95" s="5">
        <v>81</v>
      </c>
      <c r="H95" s="2"/>
      <c r="I95" s="60" t="s">
        <v>188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f>220*0.03</f>
        <v>6.6</v>
      </c>
      <c r="Y95" s="24">
        <v>0</v>
      </c>
      <c r="Z95" s="24">
        <v>0</v>
      </c>
      <c r="AA95" s="44">
        <v>0</v>
      </c>
      <c r="AB95" s="23">
        <v>0</v>
      </c>
      <c r="AC95" s="82">
        <v>0</v>
      </c>
      <c r="AD95" s="93">
        <f>200*0.04</f>
        <v>8</v>
      </c>
      <c r="AE95" s="23">
        <v>0</v>
      </c>
      <c r="AF95" s="72">
        <f>SUM(J95:AE95)</f>
        <v>14.6</v>
      </c>
    </row>
    <row r="96" spans="7:32" ht="24" x14ac:dyDescent="0.3">
      <c r="G96" s="5">
        <v>82</v>
      </c>
      <c r="H96" s="2"/>
      <c r="I96" s="2" t="s">
        <v>125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f>250*0.02</f>
        <v>5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44">
        <f>170*0.05</f>
        <v>8.5</v>
      </c>
      <c r="AB96" s="23">
        <v>0</v>
      </c>
      <c r="AC96" s="72">
        <v>0</v>
      </c>
      <c r="AD96" s="90">
        <v>0</v>
      </c>
      <c r="AE96" s="24">
        <v>0</v>
      </c>
      <c r="AF96" s="72">
        <f>SUM(J96:AE96)</f>
        <v>13.5</v>
      </c>
    </row>
    <row r="97" spans="7:32" ht="24" x14ac:dyDescent="0.3">
      <c r="G97" s="5">
        <v>83</v>
      </c>
      <c r="H97" s="2"/>
      <c r="I97" s="60" t="s">
        <v>191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f>220*0.06</f>
        <v>13.2</v>
      </c>
      <c r="Y97" s="24">
        <v>0</v>
      </c>
      <c r="Z97" s="24">
        <v>0</v>
      </c>
      <c r="AA97" s="44">
        <v>0</v>
      </c>
      <c r="AB97" s="23">
        <v>0</v>
      </c>
      <c r="AC97" s="72">
        <v>0</v>
      </c>
      <c r="AD97" s="90">
        <v>0</v>
      </c>
      <c r="AE97" s="24">
        <v>0</v>
      </c>
      <c r="AF97" s="72">
        <f>SUM(J97:AE97)</f>
        <v>13.2</v>
      </c>
    </row>
    <row r="98" spans="7:32" ht="24" x14ac:dyDescent="0.3">
      <c r="G98" s="5">
        <v>84</v>
      </c>
      <c r="H98" s="2"/>
      <c r="I98" s="2" t="s">
        <v>67</v>
      </c>
      <c r="J98" s="24">
        <f>0</f>
        <v>0</v>
      </c>
      <c r="K98" s="24">
        <f>260*0.05</f>
        <v>13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44">
        <v>0</v>
      </c>
      <c r="AB98" s="23">
        <v>0</v>
      </c>
      <c r="AC98" s="72">
        <v>0</v>
      </c>
      <c r="AD98" s="90">
        <v>0</v>
      </c>
      <c r="AE98" s="24">
        <v>0</v>
      </c>
      <c r="AF98" s="72">
        <f>SUM(J98:AE98)</f>
        <v>13</v>
      </c>
    </row>
    <row r="99" spans="7:32" ht="24" x14ac:dyDescent="0.3">
      <c r="G99" s="5">
        <v>85</v>
      </c>
      <c r="H99" s="2"/>
      <c r="I99" s="2" t="s">
        <v>70</v>
      </c>
      <c r="J99" s="24">
        <v>0</v>
      </c>
      <c r="K99" s="24">
        <f>260*0.05</f>
        <v>13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44">
        <v>0</v>
      </c>
      <c r="AB99" s="23">
        <v>0</v>
      </c>
      <c r="AC99" s="72">
        <v>0</v>
      </c>
      <c r="AD99" s="90">
        <v>0</v>
      </c>
      <c r="AE99" s="24">
        <v>0</v>
      </c>
      <c r="AF99" s="72">
        <f>SUM(J99:AE99)</f>
        <v>13</v>
      </c>
    </row>
    <row r="100" spans="7:32" ht="24" x14ac:dyDescent="0.3">
      <c r="G100" s="5">
        <v>86</v>
      </c>
      <c r="H100" s="2"/>
      <c r="I100" s="2" t="s">
        <v>63</v>
      </c>
      <c r="J100" s="24">
        <v>0</v>
      </c>
      <c r="K100" s="24">
        <f>260*0.04</f>
        <v>10.4</v>
      </c>
      <c r="L100" s="24">
        <v>0</v>
      </c>
      <c r="M100" s="24">
        <v>0</v>
      </c>
      <c r="N100" s="24">
        <f>250*0.01</f>
        <v>2.5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44">
        <v>0</v>
      </c>
      <c r="AB100" s="23">
        <v>0</v>
      </c>
      <c r="AC100" s="72">
        <v>0</v>
      </c>
      <c r="AD100" s="90">
        <v>0</v>
      </c>
      <c r="AE100" s="24">
        <v>0</v>
      </c>
      <c r="AF100" s="72">
        <f>SUM(J100:AE100)</f>
        <v>12.9</v>
      </c>
    </row>
    <row r="101" spans="7:32" ht="24" x14ac:dyDescent="0.3">
      <c r="G101" s="5">
        <v>87</v>
      </c>
      <c r="H101" s="2"/>
      <c r="I101" s="3" t="s">
        <v>111</v>
      </c>
      <c r="J101" s="24">
        <v>0</v>
      </c>
      <c r="K101" s="24">
        <v>0</v>
      </c>
      <c r="L101" s="24">
        <v>0</v>
      </c>
      <c r="M101" s="24">
        <v>0</v>
      </c>
      <c r="N101" s="26">
        <f>250*0.05</f>
        <v>12.5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44">
        <v>0</v>
      </c>
      <c r="AB101" s="23">
        <v>0</v>
      </c>
      <c r="AC101" s="72">
        <v>0</v>
      </c>
      <c r="AD101" s="90">
        <v>0</v>
      </c>
      <c r="AE101" s="24">
        <v>0</v>
      </c>
      <c r="AF101" s="72">
        <f>SUM(J101:AE101)</f>
        <v>12.5</v>
      </c>
    </row>
    <row r="102" spans="7:32" ht="24" x14ac:dyDescent="0.3">
      <c r="G102" s="5">
        <v>88</v>
      </c>
      <c r="H102" s="2"/>
      <c r="I102" s="60" t="s">
        <v>195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f>250*0.05</f>
        <v>12.5</v>
      </c>
      <c r="Z102" s="24">
        <v>0</v>
      </c>
      <c r="AA102" s="44">
        <v>0</v>
      </c>
      <c r="AB102" s="23">
        <v>0</v>
      </c>
      <c r="AC102" s="72">
        <v>0</v>
      </c>
      <c r="AD102" s="90">
        <v>0</v>
      </c>
      <c r="AE102" s="24">
        <v>0</v>
      </c>
      <c r="AF102" s="72">
        <f>SUM(J102:AE102)</f>
        <v>12.5</v>
      </c>
    </row>
    <row r="103" spans="7:32" ht="24" x14ac:dyDescent="0.3">
      <c r="G103" s="5">
        <v>89</v>
      </c>
      <c r="H103" s="2"/>
      <c r="I103" s="60" t="s">
        <v>196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f>250*0.05</f>
        <v>12.5</v>
      </c>
      <c r="Z103" s="24">
        <v>0</v>
      </c>
      <c r="AA103" s="44">
        <v>0</v>
      </c>
      <c r="AB103" s="23">
        <v>0</v>
      </c>
      <c r="AC103" s="72">
        <v>0</v>
      </c>
      <c r="AD103" s="92">
        <v>0</v>
      </c>
      <c r="AE103" s="24">
        <v>0</v>
      </c>
      <c r="AF103" s="72">
        <f>SUM(J103:AE103)</f>
        <v>12.5</v>
      </c>
    </row>
    <row r="104" spans="7:32" ht="24" x14ac:dyDescent="0.3">
      <c r="G104" s="5">
        <v>90</v>
      </c>
      <c r="H104" s="2"/>
      <c r="I104" s="60" t="s">
        <v>197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f>250*0.05</f>
        <v>12.5</v>
      </c>
      <c r="Z104" s="24">
        <v>0</v>
      </c>
      <c r="AA104" s="44">
        <v>0</v>
      </c>
      <c r="AB104" s="23">
        <v>0</v>
      </c>
      <c r="AC104" s="72">
        <v>0</v>
      </c>
      <c r="AD104" s="92">
        <v>0</v>
      </c>
      <c r="AE104" s="24">
        <v>0</v>
      </c>
      <c r="AF104" s="72">
        <f>SUM(J104:AE104)</f>
        <v>12.5</v>
      </c>
    </row>
    <row r="105" spans="7:32" ht="24" x14ac:dyDescent="0.3">
      <c r="G105" s="5">
        <v>91</v>
      </c>
      <c r="H105" s="2"/>
      <c r="I105" s="2" t="s">
        <v>89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12</v>
      </c>
      <c r="W105" s="24">
        <v>0</v>
      </c>
      <c r="X105" s="24">
        <v>0</v>
      </c>
      <c r="Y105" s="24">
        <v>0</v>
      </c>
      <c r="Z105" s="24">
        <v>0</v>
      </c>
      <c r="AA105" s="44">
        <v>0</v>
      </c>
      <c r="AB105" s="23">
        <v>0</v>
      </c>
      <c r="AC105" s="72">
        <v>0</v>
      </c>
      <c r="AD105" s="92">
        <v>0</v>
      </c>
      <c r="AE105" s="24">
        <v>0</v>
      </c>
      <c r="AF105" s="72">
        <f>SUM(J105:AE105)</f>
        <v>12</v>
      </c>
    </row>
    <row r="106" spans="7:32" ht="24" x14ac:dyDescent="0.3">
      <c r="G106" s="5">
        <v>92</v>
      </c>
      <c r="H106" s="2"/>
      <c r="I106" s="2" t="s">
        <v>110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12</v>
      </c>
      <c r="W106" s="24">
        <v>0</v>
      </c>
      <c r="X106" s="24">
        <v>0</v>
      </c>
      <c r="Y106" s="24">
        <v>0</v>
      </c>
      <c r="Z106" s="24">
        <v>0</v>
      </c>
      <c r="AA106" s="44">
        <v>0</v>
      </c>
      <c r="AB106" s="23">
        <v>0</v>
      </c>
      <c r="AC106" s="72">
        <v>0</v>
      </c>
      <c r="AD106" s="92">
        <v>0</v>
      </c>
      <c r="AE106" s="24">
        <v>0</v>
      </c>
      <c r="AF106" s="72">
        <f>SUM(J106:AE106)</f>
        <v>12</v>
      </c>
    </row>
    <row r="107" spans="7:32" ht="24" x14ac:dyDescent="0.3">
      <c r="G107" s="5">
        <v>93</v>
      </c>
      <c r="H107" s="2"/>
      <c r="I107" s="2" t="s">
        <v>226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44">
        <v>0</v>
      </c>
      <c r="AB107" s="24">
        <v>0</v>
      </c>
      <c r="AC107" s="72">
        <f>190*0.06</f>
        <v>11.4</v>
      </c>
      <c r="AD107" s="92">
        <v>0</v>
      </c>
      <c r="AE107" s="24">
        <v>0</v>
      </c>
      <c r="AF107" s="72">
        <f>SUM(J107:AE107)</f>
        <v>11.4</v>
      </c>
    </row>
    <row r="108" spans="7:32" ht="24" x14ac:dyDescent="0.3">
      <c r="G108" s="5">
        <v>94</v>
      </c>
      <c r="H108" s="2"/>
      <c r="I108" s="2" t="s">
        <v>227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44">
        <v>0</v>
      </c>
      <c r="AB108" s="24">
        <v>0</v>
      </c>
      <c r="AC108" s="72">
        <f>190*0.06</f>
        <v>11.4</v>
      </c>
      <c r="AD108" s="92">
        <v>0</v>
      </c>
      <c r="AE108" s="24">
        <v>0</v>
      </c>
      <c r="AF108" s="72">
        <f>SUM(J108:AE108)</f>
        <v>11.4</v>
      </c>
    </row>
    <row r="109" spans="7:32" ht="24" x14ac:dyDescent="0.3">
      <c r="G109" s="5">
        <v>95</v>
      </c>
      <c r="H109" s="2"/>
      <c r="I109" s="2" t="s">
        <v>20</v>
      </c>
      <c r="J109" s="24">
        <f>300*0.02</f>
        <v>6</v>
      </c>
      <c r="K109" s="24">
        <v>0</v>
      </c>
      <c r="L109" s="24">
        <v>0</v>
      </c>
      <c r="M109" s="24">
        <v>0</v>
      </c>
      <c r="N109" s="24">
        <f>250*0.01</f>
        <v>2.5</v>
      </c>
      <c r="O109" s="24">
        <v>0</v>
      </c>
      <c r="P109" s="24">
        <f>210*0.01</f>
        <v>2.1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44">
        <v>0</v>
      </c>
      <c r="AB109" s="23">
        <v>0</v>
      </c>
      <c r="AC109" s="72">
        <v>0</v>
      </c>
      <c r="AD109" s="92">
        <v>0</v>
      </c>
      <c r="AE109" s="24">
        <v>0</v>
      </c>
      <c r="AF109" s="72">
        <f>SUM(J109:AE109)</f>
        <v>10.6</v>
      </c>
    </row>
    <row r="110" spans="7:32" ht="24" x14ac:dyDescent="0.3">
      <c r="G110" s="5">
        <v>96</v>
      </c>
      <c r="H110" s="2"/>
      <c r="I110" s="74" t="s">
        <v>215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44">
        <v>0</v>
      </c>
      <c r="AB110" s="24">
        <f>130*0.08</f>
        <v>10.4</v>
      </c>
      <c r="AC110" s="72">
        <v>0</v>
      </c>
      <c r="AD110" s="92">
        <v>0</v>
      </c>
      <c r="AE110" s="24">
        <v>0</v>
      </c>
      <c r="AF110" s="72">
        <f>SUM(J110:AE110)</f>
        <v>10.4</v>
      </c>
    </row>
    <row r="111" spans="7:32" ht="24" x14ac:dyDescent="0.3">
      <c r="G111" s="5">
        <v>97</v>
      </c>
      <c r="H111" s="2"/>
      <c r="I111" s="2" t="s">
        <v>239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44">
        <v>0</v>
      </c>
      <c r="AB111" s="24">
        <v>0</v>
      </c>
      <c r="AC111" s="72">
        <v>0</v>
      </c>
      <c r="AD111" s="72">
        <v>0</v>
      </c>
      <c r="AE111" s="24">
        <f>520*0.02</f>
        <v>10.4</v>
      </c>
      <c r="AF111" s="72">
        <f>SUM(J111:AE111)</f>
        <v>10.4</v>
      </c>
    </row>
    <row r="112" spans="7:32" ht="24" x14ac:dyDescent="0.3">
      <c r="G112" s="5">
        <v>98</v>
      </c>
      <c r="H112" s="2"/>
      <c r="I112" s="2" t="s">
        <v>181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f>170*0.06</f>
        <v>10.199999999999999</v>
      </c>
      <c r="X112" s="24">
        <v>0</v>
      </c>
      <c r="Y112" s="24">
        <v>0</v>
      </c>
      <c r="Z112" s="24">
        <v>0</v>
      </c>
      <c r="AA112" s="44">
        <v>0</v>
      </c>
      <c r="AB112" s="23">
        <v>0</v>
      </c>
      <c r="AC112" s="82">
        <v>0</v>
      </c>
      <c r="AD112" s="92">
        <v>0</v>
      </c>
      <c r="AE112" s="24">
        <v>0</v>
      </c>
      <c r="AF112" s="72">
        <f>SUM(J112:AE112)</f>
        <v>10.199999999999999</v>
      </c>
    </row>
    <row r="113" spans="7:32" ht="24" x14ac:dyDescent="0.3">
      <c r="G113" s="5">
        <v>99</v>
      </c>
      <c r="H113" s="2"/>
      <c r="I113" s="2" t="s">
        <v>28</v>
      </c>
      <c r="J113" s="24">
        <v>0</v>
      </c>
      <c r="K113" s="24">
        <v>0</v>
      </c>
      <c r="L113" s="24">
        <f>250*0.04</f>
        <v>10</v>
      </c>
      <c r="M113" s="24">
        <v>0</v>
      </c>
      <c r="N113" s="26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44">
        <v>0</v>
      </c>
      <c r="AB113" s="23">
        <v>0</v>
      </c>
      <c r="AC113" s="82">
        <v>0</v>
      </c>
      <c r="AD113" s="92">
        <v>0</v>
      </c>
      <c r="AE113" s="24">
        <v>0</v>
      </c>
      <c r="AF113" s="72">
        <f>SUM(J113:AE113)</f>
        <v>10</v>
      </c>
    </row>
    <row r="114" spans="7:32" ht="24" x14ac:dyDescent="0.3">
      <c r="G114" s="5">
        <v>100</v>
      </c>
      <c r="H114" s="2"/>
      <c r="I114" s="2" t="s">
        <v>99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10</v>
      </c>
      <c r="W114" s="24">
        <v>0</v>
      </c>
      <c r="X114" s="24">
        <v>0</v>
      </c>
      <c r="Y114" s="24">
        <v>0</v>
      </c>
      <c r="Z114" s="24">
        <v>0</v>
      </c>
      <c r="AA114" s="44">
        <v>0</v>
      </c>
      <c r="AB114" s="23">
        <v>0</v>
      </c>
      <c r="AC114" s="82">
        <v>0</v>
      </c>
      <c r="AD114" s="94">
        <v>0</v>
      </c>
      <c r="AE114" s="24">
        <v>0</v>
      </c>
      <c r="AF114" s="72">
        <f>SUM(J114:AE114)</f>
        <v>10</v>
      </c>
    </row>
    <row r="115" spans="7:32" ht="24" x14ac:dyDescent="0.3">
      <c r="G115" s="5">
        <v>101</v>
      </c>
      <c r="H115" s="2"/>
      <c r="I115" s="2" t="s">
        <v>228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44">
        <v>0</v>
      </c>
      <c r="AB115" s="24">
        <v>0</v>
      </c>
      <c r="AC115" s="72">
        <v>0</v>
      </c>
      <c r="AD115" s="72">
        <f>200*0.05</f>
        <v>10</v>
      </c>
      <c r="AE115" s="24">
        <v>0</v>
      </c>
      <c r="AF115" s="72">
        <f>SUM(J115:AE115)</f>
        <v>10</v>
      </c>
    </row>
    <row r="116" spans="7:32" ht="24" x14ac:dyDescent="0.3">
      <c r="G116" s="5">
        <v>102</v>
      </c>
      <c r="H116" s="2"/>
      <c r="I116" s="3" t="s">
        <v>61</v>
      </c>
      <c r="J116" s="24">
        <f>300*0.01</f>
        <v>3</v>
      </c>
      <c r="K116" s="24">
        <v>0</v>
      </c>
      <c r="L116" s="24">
        <v>0</v>
      </c>
      <c r="M116" s="24">
        <v>0</v>
      </c>
      <c r="N116" s="23">
        <v>0</v>
      </c>
      <c r="O116" s="23">
        <v>0</v>
      </c>
      <c r="P116" s="24">
        <v>0</v>
      </c>
      <c r="Q116" s="24">
        <f>210*0.03</f>
        <v>6.3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44">
        <v>0</v>
      </c>
      <c r="AB116" s="23">
        <v>0</v>
      </c>
      <c r="AC116" s="82">
        <v>0</v>
      </c>
      <c r="AD116" s="91">
        <v>0</v>
      </c>
      <c r="AE116" s="24">
        <v>0</v>
      </c>
      <c r="AF116" s="72">
        <f>SUM(J116:AE116)</f>
        <v>9.3000000000000007</v>
      </c>
    </row>
    <row r="117" spans="7:32" ht="24" x14ac:dyDescent="0.3">
      <c r="G117" s="5">
        <v>103</v>
      </c>
      <c r="H117" s="2"/>
      <c r="I117" s="2" t="s">
        <v>154</v>
      </c>
      <c r="J117" s="24">
        <f>300*0.03</f>
        <v>9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44">
        <v>0</v>
      </c>
      <c r="AB117" s="23">
        <v>0</v>
      </c>
      <c r="AC117" s="82">
        <v>0</v>
      </c>
      <c r="AD117" s="91">
        <v>0</v>
      </c>
      <c r="AE117" s="24">
        <v>0</v>
      </c>
      <c r="AF117" s="72">
        <f>SUM(J117:AE117)</f>
        <v>9</v>
      </c>
    </row>
    <row r="118" spans="7:32" ht="24" x14ac:dyDescent="0.3">
      <c r="G118" s="5">
        <v>104</v>
      </c>
      <c r="H118" s="2"/>
      <c r="I118" s="60" t="s">
        <v>189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f>220*0.04</f>
        <v>8.8000000000000007</v>
      </c>
      <c r="Y118" s="24">
        <v>0</v>
      </c>
      <c r="Z118" s="24">
        <v>0</v>
      </c>
      <c r="AA118" s="44">
        <v>0</v>
      </c>
      <c r="AB118" s="23">
        <v>0</v>
      </c>
      <c r="AC118" s="82">
        <v>0</v>
      </c>
      <c r="AD118" s="91">
        <v>0</v>
      </c>
      <c r="AE118" s="24">
        <v>0</v>
      </c>
      <c r="AF118" s="72">
        <f>SUM(J118:AE118)</f>
        <v>8.8000000000000007</v>
      </c>
    </row>
    <row r="119" spans="7:32" ht="24" x14ac:dyDescent="0.3">
      <c r="G119" s="5">
        <v>105</v>
      </c>
      <c r="H119" s="2"/>
      <c r="I119" s="60" t="s">
        <v>190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f>220*0.04</f>
        <v>8.8000000000000007</v>
      </c>
      <c r="Y119" s="24">
        <v>0</v>
      </c>
      <c r="Z119" s="24">
        <v>0</v>
      </c>
      <c r="AA119" s="44">
        <v>0</v>
      </c>
      <c r="AB119" s="23">
        <v>0</v>
      </c>
      <c r="AC119" s="82">
        <v>0</v>
      </c>
      <c r="AD119" s="91">
        <v>0</v>
      </c>
      <c r="AE119" s="24">
        <v>0</v>
      </c>
      <c r="AF119" s="72">
        <f>SUM(J119:AE119)</f>
        <v>8.8000000000000007</v>
      </c>
    </row>
    <row r="120" spans="7:32" ht="24" x14ac:dyDescent="0.3">
      <c r="G120" s="5">
        <v>106</v>
      </c>
      <c r="H120" s="2"/>
      <c r="I120" s="2" t="s">
        <v>177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f>170*0.05</f>
        <v>8.5</v>
      </c>
      <c r="X120" s="24">
        <v>0</v>
      </c>
      <c r="Y120" s="24">
        <v>0</v>
      </c>
      <c r="Z120" s="24">
        <v>0</v>
      </c>
      <c r="AA120" s="44">
        <v>0</v>
      </c>
      <c r="AB120" s="23">
        <v>0</v>
      </c>
      <c r="AC120" s="82">
        <v>0</v>
      </c>
      <c r="AD120" s="91">
        <v>0</v>
      </c>
      <c r="AE120" s="24">
        <v>0</v>
      </c>
      <c r="AF120" s="72">
        <f>SUM(J120:AE120)</f>
        <v>8.5</v>
      </c>
    </row>
    <row r="121" spans="7:32" ht="24" x14ac:dyDescent="0.3">
      <c r="G121" s="5">
        <v>107</v>
      </c>
      <c r="H121" s="2"/>
      <c r="I121" s="2" t="s">
        <v>178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f>170*0.05</f>
        <v>8.5</v>
      </c>
      <c r="X121" s="24">
        <v>0</v>
      </c>
      <c r="Y121" s="24">
        <v>0</v>
      </c>
      <c r="Z121" s="24">
        <v>0</v>
      </c>
      <c r="AA121" s="44">
        <v>0</v>
      </c>
      <c r="AB121" s="23">
        <v>0</v>
      </c>
      <c r="AC121" s="82">
        <v>0</v>
      </c>
      <c r="AD121" s="91">
        <v>0</v>
      </c>
      <c r="AE121" s="24">
        <v>0</v>
      </c>
      <c r="AF121" s="72">
        <f>SUM(J121:AE121)</f>
        <v>8.5</v>
      </c>
    </row>
    <row r="122" spans="7:32" ht="24" x14ac:dyDescent="0.3">
      <c r="G122" s="5">
        <v>108</v>
      </c>
      <c r="H122" s="2"/>
      <c r="I122" s="2" t="s">
        <v>179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f>170*0.05</f>
        <v>8.5</v>
      </c>
      <c r="X122" s="24">
        <v>0</v>
      </c>
      <c r="Y122" s="24">
        <v>0</v>
      </c>
      <c r="Z122" s="24">
        <v>0</v>
      </c>
      <c r="AA122" s="44">
        <v>0</v>
      </c>
      <c r="AB122" s="23">
        <v>0</v>
      </c>
      <c r="AC122" s="82">
        <v>0</v>
      </c>
      <c r="AD122" s="91">
        <v>0</v>
      </c>
      <c r="AE122" s="24">
        <v>0</v>
      </c>
      <c r="AF122" s="72">
        <f>SUM(J122:AE122)</f>
        <v>8.5</v>
      </c>
    </row>
    <row r="123" spans="7:32" ht="24" x14ac:dyDescent="0.3">
      <c r="G123" s="5">
        <v>109</v>
      </c>
      <c r="H123" s="2"/>
      <c r="I123" s="2" t="s">
        <v>166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44">
        <f>170*0.05</f>
        <v>8.5</v>
      </c>
      <c r="AB123" s="23">
        <v>0</v>
      </c>
      <c r="AC123" s="82">
        <v>0</v>
      </c>
      <c r="AD123" s="91">
        <v>0</v>
      </c>
      <c r="AE123" s="24">
        <v>0</v>
      </c>
      <c r="AF123" s="72">
        <f>SUM(J123:AE123)</f>
        <v>8.5</v>
      </c>
    </row>
    <row r="124" spans="7:32" ht="24" x14ac:dyDescent="0.3">
      <c r="G124" s="5">
        <v>110</v>
      </c>
      <c r="H124" s="2"/>
      <c r="I124" s="2" t="s">
        <v>155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f>210*0.04</f>
        <v>8.4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44">
        <v>0</v>
      </c>
      <c r="AB124" s="23">
        <v>0</v>
      </c>
      <c r="AC124" s="82">
        <v>0</v>
      </c>
      <c r="AD124" s="91">
        <v>0</v>
      </c>
      <c r="AE124" s="24">
        <v>0</v>
      </c>
      <c r="AF124" s="72">
        <f>SUM(J124:AE124)</f>
        <v>8.4</v>
      </c>
    </row>
    <row r="125" spans="7:32" ht="24" x14ac:dyDescent="0.3">
      <c r="G125" s="5">
        <v>111</v>
      </c>
      <c r="H125" s="2"/>
      <c r="I125" s="2" t="s">
        <v>119</v>
      </c>
      <c r="J125" s="24">
        <v>0</v>
      </c>
      <c r="K125" s="24">
        <v>0</v>
      </c>
      <c r="L125" s="24">
        <v>0</v>
      </c>
      <c r="M125" s="24">
        <f>270*0.03</f>
        <v>8.1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44">
        <v>0</v>
      </c>
      <c r="AB125" s="23">
        <v>0</v>
      </c>
      <c r="AC125" s="82">
        <v>0</v>
      </c>
      <c r="AD125" s="91">
        <v>0</v>
      </c>
      <c r="AE125" s="24">
        <v>0</v>
      </c>
      <c r="AF125" s="72">
        <f>SUM(J125:AE125)</f>
        <v>8.1</v>
      </c>
    </row>
    <row r="126" spans="7:32" ht="24" x14ac:dyDescent="0.3">
      <c r="G126" s="5">
        <v>112</v>
      </c>
      <c r="H126" s="2"/>
      <c r="I126" s="2" t="s">
        <v>229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44">
        <v>0</v>
      </c>
      <c r="AB126" s="24">
        <v>0</v>
      </c>
      <c r="AC126" s="72">
        <v>0</v>
      </c>
      <c r="AD126" s="72">
        <f>200*0.04</f>
        <v>8</v>
      </c>
      <c r="AE126" s="24">
        <v>0</v>
      </c>
      <c r="AF126" s="72">
        <f>SUM(J126:AE126)</f>
        <v>8</v>
      </c>
    </row>
    <row r="127" spans="7:32" ht="24" x14ac:dyDescent="0.3">
      <c r="G127" s="5">
        <v>113</v>
      </c>
      <c r="H127" s="2"/>
      <c r="I127" s="2" t="s">
        <v>148</v>
      </c>
      <c r="J127" s="26">
        <v>0</v>
      </c>
      <c r="K127" s="26">
        <f>260*0.03</f>
        <v>7.8</v>
      </c>
      <c r="L127" s="23">
        <v>0</v>
      </c>
      <c r="M127" s="23">
        <v>0</v>
      </c>
      <c r="N127" s="26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44">
        <v>0</v>
      </c>
      <c r="AB127" s="23">
        <v>0</v>
      </c>
      <c r="AC127" s="82">
        <v>0</v>
      </c>
      <c r="AD127" s="91">
        <v>0</v>
      </c>
      <c r="AE127" s="24">
        <v>0</v>
      </c>
      <c r="AF127" s="72">
        <f>SUM(J127:AE127)</f>
        <v>7.8</v>
      </c>
    </row>
    <row r="128" spans="7:32" ht="24" x14ac:dyDescent="0.3">
      <c r="G128" s="5">
        <v>114</v>
      </c>
      <c r="H128" s="2"/>
      <c r="I128" s="2" t="s">
        <v>140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f>260*0.03</f>
        <v>7.8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44">
        <v>0</v>
      </c>
      <c r="AB128" s="23">
        <v>0</v>
      </c>
      <c r="AC128" s="82">
        <v>0</v>
      </c>
      <c r="AD128" s="91">
        <v>0</v>
      </c>
      <c r="AE128" s="24">
        <v>0</v>
      </c>
      <c r="AF128" s="72">
        <f>SUM(J128:AE128)</f>
        <v>7.8</v>
      </c>
    </row>
    <row r="129" spans="7:32" ht="24" x14ac:dyDescent="0.3">
      <c r="G129" s="5">
        <v>115</v>
      </c>
      <c r="H129" s="2"/>
      <c r="I129" s="2" t="s">
        <v>146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f>260*0.03</f>
        <v>7.8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44">
        <v>0</v>
      </c>
      <c r="AB129" s="23">
        <v>0</v>
      </c>
      <c r="AC129" s="82">
        <v>0</v>
      </c>
      <c r="AD129" s="91">
        <v>0</v>
      </c>
      <c r="AE129" s="24">
        <v>0</v>
      </c>
      <c r="AF129" s="72">
        <f>SUM(J129:AE129)</f>
        <v>7.8</v>
      </c>
    </row>
    <row r="130" spans="7:32" ht="24" x14ac:dyDescent="0.3">
      <c r="G130" s="5">
        <v>116</v>
      </c>
      <c r="H130" s="2"/>
      <c r="I130" s="2" t="s">
        <v>224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44">
        <v>0</v>
      </c>
      <c r="AB130" s="24">
        <v>0</v>
      </c>
      <c r="AC130" s="72">
        <f>190*0.04</f>
        <v>7.6000000000000005</v>
      </c>
      <c r="AD130" s="91">
        <v>0</v>
      </c>
      <c r="AE130" s="24">
        <v>0</v>
      </c>
      <c r="AF130" s="72">
        <f>SUM(J130:AE130)</f>
        <v>7.6000000000000005</v>
      </c>
    </row>
    <row r="131" spans="7:32" ht="24" x14ac:dyDescent="0.3">
      <c r="G131" s="5">
        <v>117</v>
      </c>
      <c r="H131" s="2"/>
      <c r="I131" s="2" t="s">
        <v>225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44">
        <v>0</v>
      </c>
      <c r="AB131" s="24">
        <v>0</v>
      </c>
      <c r="AC131" s="72">
        <f>190*0.04</f>
        <v>7.6000000000000005</v>
      </c>
      <c r="AD131" s="91">
        <v>0</v>
      </c>
      <c r="AE131" s="24">
        <v>0</v>
      </c>
      <c r="AF131" s="72">
        <f>SUM(J131:AE131)</f>
        <v>7.6000000000000005</v>
      </c>
    </row>
    <row r="132" spans="7:32" ht="24" x14ac:dyDescent="0.3">
      <c r="G132" s="5">
        <v>118</v>
      </c>
      <c r="H132" s="2"/>
      <c r="I132" s="2" t="s">
        <v>147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f>250*0.03</f>
        <v>7.5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44">
        <v>0</v>
      </c>
      <c r="AB132" s="23">
        <v>0</v>
      </c>
      <c r="AC132" s="82">
        <v>0</v>
      </c>
      <c r="AD132" s="91">
        <v>0</v>
      </c>
      <c r="AE132" s="24">
        <v>0</v>
      </c>
      <c r="AF132" s="72">
        <f>SUM(J132:AE132)</f>
        <v>7.5</v>
      </c>
    </row>
    <row r="133" spans="7:32" ht="24" x14ac:dyDescent="0.3">
      <c r="G133" s="5">
        <v>119</v>
      </c>
      <c r="H133" s="2"/>
      <c r="I133" s="2" t="s">
        <v>131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f>230*0.02</f>
        <v>4.6000000000000005</v>
      </c>
      <c r="T133" s="24">
        <f>260*0.01</f>
        <v>2.6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44">
        <v>0</v>
      </c>
      <c r="AB133" s="23">
        <v>0</v>
      </c>
      <c r="AC133" s="23">
        <v>0</v>
      </c>
      <c r="AD133" s="91">
        <v>0</v>
      </c>
      <c r="AE133" s="24">
        <v>0</v>
      </c>
      <c r="AF133" s="72">
        <f>SUM(J133:AE133)</f>
        <v>7.2000000000000011</v>
      </c>
    </row>
    <row r="134" spans="7:32" ht="24" x14ac:dyDescent="0.3">
      <c r="G134" s="5">
        <v>120</v>
      </c>
      <c r="H134" s="2"/>
      <c r="I134" s="3" t="s">
        <v>27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f>240*0.03</f>
        <v>7.1999999999999993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44">
        <v>0</v>
      </c>
      <c r="AB134" s="23">
        <v>0</v>
      </c>
      <c r="AC134" s="23">
        <v>0</v>
      </c>
      <c r="AD134" s="91">
        <v>0</v>
      </c>
      <c r="AE134" s="24">
        <v>0</v>
      </c>
      <c r="AF134" s="72">
        <f>SUM(J134:AE134)</f>
        <v>7.1999999999999993</v>
      </c>
    </row>
    <row r="135" spans="7:32" ht="24" x14ac:dyDescent="0.3">
      <c r="G135" s="5">
        <v>121</v>
      </c>
      <c r="H135" s="2"/>
      <c r="I135" s="2" t="s">
        <v>166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f>210*0.01</f>
        <v>2.1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f>250*0.02</f>
        <v>5</v>
      </c>
      <c r="Z135" s="24">
        <v>0</v>
      </c>
      <c r="AA135" s="44">
        <v>0</v>
      </c>
      <c r="AB135" s="23">
        <v>0</v>
      </c>
      <c r="AC135" s="23">
        <v>0</v>
      </c>
      <c r="AD135" s="91">
        <v>0</v>
      </c>
      <c r="AE135" s="24">
        <v>0</v>
      </c>
      <c r="AF135" s="72">
        <f>SUM(J135:AE135)</f>
        <v>7.1</v>
      </c>
    </row>
    <row r="136" spans="7:32" ht="24" x14ac:dyDescent="0.3">
      <c r="G136" s="5">
        <v>122</v>
      </c>
      <c r="H136" s="2"/>
      <c r="I136" s="2" t="s">
        <v>161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f>230*0.03</f>
        <v>6.8999999999999995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44">
        <v>0</v>
      </c>
      <c r="AB136" s="23">
        <v>0</v>
      </c>
      <c r="AC136" s="23">
        <v>0</v>
      </c>
      <c r="AD136" s="91">
        <v>0</v>
      </c>
      <c r="AE136" s="24">
        <v>0</v>
      </c>
      <c r="AF136" s="72">
        <f>SUM(J136:AE136)</f>
        <v>6.8999999999999995</v>
      </c>
    </row>
    <row r="137" spans="7:32" ht="24" x14ac:dyDescent="0.3">
      <c r="G137" s="5">
        <v>123</v>
      </c>
      <c r="H137" s="2"/>
      <c r="I137" s="60" t="s">
        <v>187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f>220*0.03</f>
        <v>6.6</v>
      </c>
      <c r="Y137" s="24">
        <v>0</v>
      </c>
      <c r="Z137" s="24">
        <v>0</v>
      </c>
      <c r="AA137" s="44">
        <v>0</v>
      </c>
      <c r="AB137" s="23">
        <v>0</v>
      </c>
      <c r="AC137" s="23">
        <v>0</v>
      </c>
      <c r="AD137" s="91">
        <v>0</v>
      </c>
      <c r="AE137" s="24">
        <v>0</v>
      </c>
      <c r="AF137" s="72">
        <f>SUM(J137:AE137)</f>
        <v>6.6</v>
      </c>
    </row>
    <row r="138" spans="7:32" ht="24" x14ac:dyDescent="0.3">
      <c r="G138" s="5">
        <v>124</v>
      </c>
      <c r="H138" s="2"/>
      <c r="I138" s="74" t="s">
        <v>212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44">
        <v>0</v>
      </c>
      <c r="AB138" s="24">
        <f>130*0.05</f>
        <v>6.5</v>
      </c>
      <c r="AC138" s="23">
        <v>0</v>
      </c>
      <c r="AD138" s="72">
        <v>0</v>
      </c>
      <c r="AE138" s="24">
        <v>0</v>
      </c>
      <c r="AF138" s="72">
        <f>SUM(J138:AE138)</f>
        <v>6.5</v>
      </c>
    </row>
    <row r="139" spans="7:32" ht="24" x14ac:dyDescent="0.3">
      <c r="G139" s="5">
        <v>125</v>
      </c>
      <c r="H139" s="2"/>
      <c r="I139" s="2" t="s">
        <v>213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44">
        <v>0</v>
      </c>
      <c r="AB139" s="24">
        <f>130*0.05</f>
        <v>6.5</v>
      </c>
      <c r="AC139" s="23">
        <v>0</v>
      </c>
      <c r="AD139" s="72">
        <v>0</v>
      </c>
      <c r="AE139" s="24">
        <v>0</v>
      </c>
      <c r="AF139" s="72">
        <f>SUM(J139:AE139)</f>
        <v>6.5</v>
      </c>
    </row>
    <row r="140" spans="7:32" ht="24" x14ac:dyDescent="0.3">
      <c r="G140" s="5">
        <v>126</v>
      </c>
      <c r="H140" s="2"/>
      <c r="I140" s="2" t="s">
        <v>150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f>210*0.03</f>
        <v>6.3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44">
        <v>0</v>
      </c>
      <c r="AB140" s="23">
        <v>0</v>
      </c>
      <c r="AC140" s="23">
        <v>0</v>
      </c>
      <c r="AD140" s="72">
        <v>0</v>
      </c>
      <c r="AE140" s="24">
        <v>0</v>
      </c>
      <c r="AF140" s="72">
        <f>SUM(J140:AE140)</f>
        <v>6.3</v>
      </c>
    </row>
    <row r="141" spans="7:32" ht="24" x14ac:dyDescent="0.3">
      <c r="G141" s="5">
        <v>127</v>
      </c>
      <c r="H141" s="2"/>
      <c r="I141" s="3" t="s">
        <v>98</v>
      </c>
      <c r="J141" s="23">
        <f>300*0.02</f>
        <v>6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44">
        <v>0</v>
      </c>
      <c r="AB141" s="23">
        <v>0</v>
      </c>
      <c r="AC141" s="23">
        <v>0</v>
      </c>
      <c r="AD141" s="72">
        <v>0</v>
      </c>
      <c r="AE141" s="24">
        <v>0</v>
      </c>
      <c r="AF141" s="72">
        <f>SUM(J141:AE141)</f>
        <v>6</v>
      </c>
    </row>
    <row r="142" spans="7:32" ht="24" x14ac:dyDescent="0.3">
      <c r="G142" s="5">
        <v>128</v>
      </c>
      <c r="H142" s="2"/>
      <c r="I142" s="3" t="s">
        <v>57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f>300*0.02</f>
        <v>6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44">
        <v>0</v>
      </c>
      <c r="AB142" s="23">
        <v>0</v>
      </c>
      <c r="AC142" s="23">
        <v>0</v>
      </c>
      <c r="AD142" s="72">
        <v>0</v>
      </c>
      <c r="AE142" s="24">
        <v>0</v>
      </c>
      <c r="AF142" s="72">
        <f>SUM(J142:AE142)</f>
        <v>6</v>
      </c>
    </row>
    <row r="143" spans="7:32" ht="24" x14ac:dyDescent="0.3">
      <c r="G143" s="5">
        <v>129</v>
      </c>
      <c r="H143" s="2"/>
      <c r="I143" s="2" t="s">
        <v>152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f>300*0.02</f>
        <v>6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44">
        <v>0</v>
      </c>
      <c r="AB143" s="23">
        <v>0</v>
      </c>
      <c r="AC143" s="23">
        <v>0</v>
      </c>
      <c r="AD143" s="72">
        <v>0</v>
      </c>
      <c r="AE143" s="24">
        <v>0</v>
      </c>
      <c r="AF143" s="72">
        <f>SUM(J143:AE143)</f>
        <v>6</v>
      </c>
    </row>
    <row r="144" spans="7:32" ht="24" x14ac:dyDescent="0.3">
      <c r="G144" s="5">
        <v>130</v>
      </c>
      <c r="H144" s="2"/>
      <c r="I144" s="2" t="s">
        <v>209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44">
        <f>140*0.04</f>
        <v>5.6000000000000005</v>
      </c>
      <c r="AB144" s="23">
        <v>0</v>
      </c>
      <c r="AC144" s="23">
        <v>0</v>
      </c>
      <c r="AD144" s="72">
        <v>0</v>
      </c>
      <c r="AE144" s="24">
        <v>0</v>
      </c>
      <c r="AF144" s="72">
        <f>SUM(J144:AE144)</f>
        <v>5.6000000000000005</v>
      </c>
    </row>
    <row r="145" spans="7:32" ht="24" x14ac:dyDescent="0.3">
      <c r="G145" s="5">
        <v>131</v>
      </c>
      <c r="H145" s="2"/>
      <c r="I145" s="2" t="s">
        <v>153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f>260*0.01</f>
        <v>2.6</v>
      </c>
      <c r="U145" s="24">
        <f>300*0.01</f>
        <v>3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44">
        <v>0</v>
      </c>
      <c r="AB145" s="23">
        <v>0</v>
      </c>
      <c r="AC145" s="23">
        <v>0</v>
      </c>
      <c r="AD145" s="72">
        <v>0</v>
      </c>
      <c r="AE145" s="24">
        <v>0</v>
      </c>
      <c r="AF145" s="72">
        <f>SUM(J145:AE145)</f>
        <v>5.6</v>
      </c>
    </row>
    <row r="146" spans="7:32" ht="24" x14ac:dyDescent="0.3">
      <c r="G146" s="5">
        <v>132</v>
      </c>
      <c r="H146" s="2"/>
      <c r="I146" s="2" t="s">
        <v>87</v>
      </c>
      <c r="J146" s="23">
        <v>0</v>
      </c>
      <c r="K146" s="23">
        <v>0</v>
      </c>
      <c r="L146" s="23">
        <v>0</v>
      </c>
      <c r="M146" s="23">
        <f>270*0.02</f>
        <v>5.4</v>
      </c>
      <c r="N146" s="24">
        <v>0</v>
      </c>
      <c r="O146" s="23">
        <v>0</v>
      </c>
      <c r="P146" s="23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44">
        <v>0</v>
      </c>
      <c r="AB146" s="23">
        <v>0</v>
      </c>
      <c r="AC146" s="23">
        <v>0</v>
      </c>
      <c r="AD146" s="72">
        <v>0</v>
      </c>
      <c r="AE146" s="24">
        <v>0</v>
      </c>
      <c r="AF146" s="72">
        <f>SUM(J146:AE146)</f>
        <v>5.4</v>
      </c>
    </row>
    <row r="147" spans="7:32" ht="24" x14ac:dyDescent="0.3">
      <c r="G147" s="5">
        <v>133</v>
      </c>
      <c r="H147" s="2"/>
      <c r="I147" s="2" t="s">
        <v>109</v>
      </c>
      <c r="J147" s="23">
        <v>0</v>
      </c>
      <c r="K147" s="23">
        <f>260*0.02</f>
        <v>5.2</v>
      </c>
      <c r="L147" s="23">
        <v>0</v>
      </c>
      <c r="M147" s="23">
        <v>0</v>
      </c>
      <c r="N147" s="23">
        <v>0</v>
      </c>
      <c r="O147" s="23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44">
        <v>0</v>
      </c>
      <c r="AB147" s="23">
        <v>0</v>
      </c>
      <c r="AC147" s="23">
        <v>0</v>
      </c>
      <c r="AD147" s="72">
        <v>0</v>
      </c>
      <c r="AE147" s="24">
        <v>0</v>
      </c>
      <c r="AF147" s="72">
        <f>SUM(J147:AE147)</f>
        <v>5.2</v>
      </c>
    </row>
    <row r="148" spans="7:32" ht="24" x14ac:dyDescent="0.3">
      <c r="G148" s="5">
        <v>134</v>
      </c>
      <c r="H148" s="2"/>
      <c r="I148" s="2" t="s">
        <v>12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f>260*0.02</f>
        <v>5.2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44">
        <v>0</v>
      </c>
      <c r="AB148" s="23">
        <v>0</v>
      </c>
      <c r="AC148" s="23">
        <v>0</v>
      </c>
      <c r="AD148" s="72">
        <v>0</v>
      </c>
      <c r="AE148" s="24">
        <v>0</v>
      </c>
      <c r="AF148" s="72">
        <f>SUM(J148:AE148)</f>
        <v>5.2</v>
      </c>
    </row>
    <row r="149" spans="7:32" ht="24" x14ac:dyDescent="0.3">
      <c r="G149" s="5">
        <v>135</v>
      </c>
      <c r="H149" s="2"/>
      <c r="I149" s="2" t="s">
        <v>233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44">
        <v>0</v>
      </c>
      <c r="AB149" s="24">
        <v>0</v>
      </c>
      <c r="AC149" s="24">
        <v>0</v>
      </c>
      <c r="AD149" s="72">
        <v>0</v>
      </c>
      <c r="AE149" s="24">
        <f>520*0.01</f>
        <v>5.2</v>
      </c>
      <c r="AF149" s="72">
        <f>SUM(J149:AE149)</f>
        <v>5.2</v>
      </c>
    </row>
    <row r="150" spans="7:32" ht="24" x14ac:dyDescent="0.3">
      <c r="G150" s="5">
        <v>136</v>
      </c>
      <c r="H150" s="2"/>
      <c r="I150" s="2" t="s">
        <v>234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44">
        <v>0</v>
      </c>
      <c r="AB150" s="24">
        <v>0</v>
      </c>
      <c r="AC150" s="24">
        <v>0</v>
      </c>
      <c r="AD150" s="72">
        <v>0</v>
      </c>
      <c r="AE150" s="24">
        <f>520*0.01</f>
        <v>5.2</v>
      </c>
      <c r="AF150" s="72">
        <f>SUM(J150:AE150)</f>
        <v>5.2</v>
      </c>
    </row>
    <row r="151" spans="7:32" ht="24" x14ac:dyDescent="0.3">
      <c r="G151" s="5">
        <v>137</v>
      </c>
      <c r="H151" s="2"/>
      <c r="I151" s="2" t="s">
        <v>235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44">
        <v>0</v>
      </c>
      <c r="AB151" s="24">
        <v>0</v>
      </c>
      <c r="AC151" s="24">
        <v>0</v>
      </c>
      <c r="AD151" s="72">
        <v>0</v>
      </c>
      <c r="AE151" s="24">
        <f>520*0.01</f>
        <v>5.2</v>
      </c>
      <c r="AF151" s="72">
        <f>SUM(J151:AE151)</f>
        <v>5.2</v>
      </c>
    </row>
    <row r="152" spans="7:32" ht="24" x14ac:dyDescent="0.3">
      <c r="G152" s="5">
        <v>138</v>
      </c>
      <c r="H152" s="2"/>
      <c r="I152" s="2" t="s">
        <v>236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44">
        <v>0</v>
      </c>
      <c r="AB152" s="24">
        <v>0</v>
      </c>
      <c r="AC152" s="24">
        <v>0</v>
      </c>
      <c r="AD152" s="72">
        <v>0</v>
      </c>
      <c r="AE152" s="24">
        <f>520*0.01</f>
        <v>5.2</v>
      </c>
      <c r="AF152" s="72">
        <f>SUM(J152:AE152)</f>
        <v>5.2</v>
      </c>
    </row>
    <row r="153" spans="7:32" ht="24" x14ac:dyDescent="0.3">
      <c r="G153" s="5">
        <v>139</v>
      </c>
      <c r="H153" s="2"/>
      <c r="I153" s="2" t="s">
        <v>237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44">
        <v>0</v>
      </c>
      <c r="AB153" s="24">
        <v>0</v>
      </c>
      <c r="AC153" s="24">
        <v>0</v>
      </c>
      <c r="AD153" s="72">
        <v>0</v>
      </c>
      <c r="AE153" s="24">
        <f>520*0.01</f>
        <v>5.2</v>
      </c>
      <c r="AF153" s="72">
        <f>SUM(J153:AE153)</f>
        <v>5.2</v>
      </c>
    </row>
    <row r="154" spans="7:32" ht="24" x14ac:dyDescent="0.3">
      <c r="G154" s="5">
        <v>140</v>
      </c>
      <c r="H154" s="2"/>
      <c r="I154" s="2" t="s">
        <v>238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44">
        <v>0</v>
      </c>
      <c r="AB154" s="24">
        <v>0</v>
      </c>
      <c r="AC154" s="24">
        <v>0</v>
      </c>
      <c r="AD154" s="72">
        <v>0</v>
      </c>
      <c r="AE154" s="24">
        <f>520*0.01</f>
        <v>5.2</v>
      </c>
      <c r="AF154" s="72">
        <f>SUM(J154:AE154)</f>
        <v>5.2</v>
      </c>
    </row>
    <row r="155" spans="7:32" ht="24" x14ac:dyDescent="0.3">
      <c r="G155" s="5">
        <v>141</v>
      </c>
      <c r="H155" s="2"/>
      <c r="I155" s="2" t="s">
        <v>138</v>
      </c>
      <c r="J155" s="24">
        <v>0</v>
      </c>
      <c r="K155" s="24">
        <v>0</v>
      </c>
      <c r="L155" s="24">
        <f>250*0.02</f>
        <v>5</v>
      </c>
      <c r="M155" s="24">
        <v>0</v>
      </c>
      <c r="N155" s="23">
        <v>0</v>
      </c>
      <c r="O155" s="23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44">
        <v>0</v>
      </c>
      <c r="AB155" s="23">
        <v>0</v>
      </c>
      <c r="AC155" s="23">
        <v>0</v>
      </c>
      <c r="AD155" s="72">
        <v>0</v>
      </c>
      <c r="AE155" s="24">
        <v>0</v>
      </c>
      <c r="AF155" s="72">
        <f>SUM(J155:AE155)</f>
        <v>5</v>
      </c>
    </row>
    <row r="156" spans="7:32" ht="24" x14ac:dyDescent="0.3">
      <c r="G156" s="5">
        <v>142</v>
      </c>
      <c r="H156" s="2"/>
      <c r="I156" s="2" t="s">
        <v>139</v>
      </c>
      <c r="J156" s="24">
        <v>0</v>
      </c>
      <c r="K156" s="24">
        <v>0</v>
      </c>
      <c r="L156" s="24">
        <v>0</v>
      </c>
      <c r="M156" s="24">
        <v>0</v>
      </c>
      <c r="N156" s="24">
        <f>250*0.02</f>
        <v>5</v>
      </c>
      <c r="O156" s="23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44">
        <v>0</v>
      </c>
      <c r="AB156" s="23">
        <v>0</v>
      </c>
      <c r="AC156" s="23">
        <v>0</v>
      </c>
      <c r="AD156" s="72">
        <v>0</v>
      </c>
      <c r="AE156" s="24">
        <v>0</v>
      </c>
      <c r="AF156" s="72">
        <f>SUM(J156:AE156)</f>
        <v>5</v>
      </c>
    </row>
    <row r="157" spans="7:32" ht="24" x14ac:dyDescent="0.3">
      <c r="G157" s="5">
        <v>143</v>
      </c>
      <c r="H157" s="2"/>
      <c r="I157" s="60" t="s">
        <v>194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f>250*0.02</f>
        <v>5</v>
      </c>
      <c r="Z157" s="24">
        <v>0</v>
      </c>
      <c r="AA157" s="44">
        <v>0</v>
      </c>
      <c r="AB157" s="23">
        <v>0</v>
      </c>
      <c r="AC157" s="23">
        <v>0</v>
      </c>
      <c r="AD157" s="72">
        <v>0</v>
      </c>
      <c r="AE157" s="24">
        <v>0</v>
      </c>
      <c r="AF157" s="72">
        <f>SUM(J157:AE157)</f>
        <v>5</v>
      </c>
    </row>
    <row r="158" spans="7:32" ht="24" x14ac:dyDescent="0.3">
      <c r="G158" s="5">
        <v>144</v>
      </c>
      <c r="H158" s="2"/>
      <c r="I158" s="2" t="s">
        <v>130</v>
      </c>
      <c r="J158" s="24">
        <v>0</v>
      </c>
      <c r="K158" s="24">
        <f>260*0.01</f>
        <v>2.6</v>
      </c>
      <c r="L158" s="24">
        <v>0</v>
      </c>
      <c r="M158" s="24">
        <v>0</v>
      </c>
      <c r="N158" s="23">
        <v>0</v>
      </c>
      <c r="O158" s="23">
        <v>0</v>
      </c>
      <c r="P158" s="24">
        <v>0</v>
      </c>
      <c r="Q158" s="24">
        <v>0</v>
      </c>
      <c r="R158" s="24">
        <v>0</v>
      </c>
      <c r="S158" s="24">
        <f>230*0.01</f>
        <v>2.3000000000000003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44">
        <v>0</v>
      </c>
      <c r="AB158" s="23">
        <v>0</v>
      </c>
      <c r="AC158" s="23">
        <v>0</v>
      </c>
      <c r="AD158" s="72">
        <v>0</v>
      </c>
      <c r="AE158" s="24">
        <v>0</v>
      </c>
      <c r="AF158" s="72">
        <f>SUM(J158:AE158)</f>
        <v>4.9000000000000004</v>
      </c>
    </row>
    <row r="159" spans="7:32" ht="24" x14ac:dyDescent="0.3">
      <c r="G159" s="5">
        <v>145</v>
      </c>
      <c r="H159" s="2"/>
      <c r="I159" s="2" t="s">
        <v>25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f>240*0.02</f>
        <v>4.8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44">
        <v>0</v>
      </c>
      <c r="AB159" s="23">
        <v>0</v>
      </c>
      <c r="AC159" s="23">
        <v>0</v>
      </c>
      <c r="AD159" s="72">
        <v>0</v>
      </c>
      <c r="AE159" s="24">
        <v>0</v>
      </c>
      <c r="AF159" s="72">
        <f>SUM(J159:AE159)</f>
        <v>4.8</v>
      </c>
    </row>
    <row r="160" spans="7:32" ht="24" x14ac:dyDescent="0.3">
      <c r="G160" s="5">
        <v>146</v>
      </c>
      <c r="H160" s="2"/>
      <c r="I160" s="2" t="s">
        <v>23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f>240*0.02</f>
        <v>4.8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44">
        <v>0</v>
      </c>
      <c r="AB160" s="23">
        <v>0</v>
      </c>
      <c r="AC160" s="23">
        <v>0</v>
      </c>
      <c r="AD160" s="72">
        <v>0</v>
      </c>
      <c r="AE160" s="24">
        <v>0</v>
      </c>
      <c r="AF160" s="72">
        <f>SUM(J160:AE160)</f>
        <v>4.8</v>
      </c>
    </row>
    <row r="161" spans="7:32" ht="24" x14ac:dyDescent="0.3">
      <c r="G161" s="5">
        <v>147</v>
      </c>
      <c r="H161" s="2"/>
      <c r="I161" s="2" t="s">
        <v>207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f>60*0.08</f>
        <v>4.8</v>
      </c>
      <c r="AA161" s="44">
        <v>0</v>
      </c>
      <c r="AB161" s="23">
        <v>0</v>
      </c>
      <c r="AC161" s="23">
        <v>0</v>
      </c>
      <c r="AD161" s="72">
        <v>0</v>
      </c>
      <c r="AE161" s="24">
        <v>0</v>
      </c>
      <c r="AF161" s="72">
        <f>SUM(J161:AE161)</f>
        <v>4.8</v>
      </c>
    </row>
    <row r="162" spans="7:32" ht="24" x14ac:dyDescent="0.3">
      <c r="G162" s="5">
        <v>148</v>
      </c>
      <c r="H162" s="2"/>
      <c r="I162" s="60" t="s">
        <v>185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f>220*0.02</f>
        <v>4.4000000000000004</v>
      </c>
      <c r="Y162" s="24">
        <v>0</v>
      </c>
      <c r="Z162" s="24">
        <v>0</v>
      </c>
      <c r="AA162" s="44">
        <v>0</v>
      </c>
      <c r="AB162" s="23">
        <v>0</v>
      </c>
      <c r="AC162" s="23">
        <v>0</v>
      </c>
      <c r="AD162" s="72">
        <v>0</v>
      </c>
      <c r="AE162" s="24">
        <v>0</v>
      </c>
      <c r="AF162" s="72">
        <f>SUM(J162:AE162)</f>
        <v>4.4000000000000004</v>
      </c>
    </row>
    <row r="163" spans="7:32" ht="24" x14ac:dyDescent="0.3">
      <c r="G163" s="5">
        <v>149</v>
      </c>
      <c r="H163" s="2"/>
      <c r="I163" s="60" t="s">
        <v>186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f>220*0.02</f>
        <v>4.4000000000000004</v>
      </c>
      <c r="Y163" s="24">
        <v>0</v>
      </c>
      <c r="Z163" s="24">
        <v>0</v>
      </c>
      <c r="AA163" s="44">
        <v>0</v>
      </c>
      <c r="AB163" s="23">
        <v>0</v>
      </c>
      <c r="AC163" s="23">
        <v>0</v>
      </c>
      <c r="AD163" s="72">
        <v>0</v>
      </c>
      <c r="AE163" s="24">
        <v>0</v>
      </c>
      <c r="AF163" s="72">
        <f>SUM(J163:AE163)</f>
        <v>4.4000000000000004</v>
      </c>
    </row>
    <row r="164" spans="7:32" ht="24" x14ac:dyDescent="0.3">
      <c r="G164" s="5">
        <v>150</v>
      </c>
      <c r="H164" s="2"/>
      <c r="I164" s="2" t="s">
        <v>22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f>210*0.02</f>
        <v>4.2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44">
        <v>0</v>
      </c>
      <c r="AB164" s="23">
        <v>0</v>
      </c>
      <c r="AC164" s="23">
        <v>0</v>
      </c>
      <c r="AD164" s="72">
        <v>0</v>
      </c>
      <c r="AE164" s="24">
        <v>0</v>
      </c>
      <c r="AF164" s="72">
        <f>SUM(J164:AE164)</f>
        <v>4.2</v>
      </c>
    </row>
    <row r="165" spans="7:32" ht="24" x14ac:dyDescent="0.3">
      <c r="G165" s="5">
        <v>151</v>
      </c>
      <c r="H165" s="2"/>
      <c r="I165" s="3" t="s">
        <v>17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f>210*0.02</f>
        <v>4.2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44">
        <v>0</v>
      </c>
      <c r="AB165" s="23">
        <v>0</v>
      </c>
      <c r="AC165" s="23">
        <v>0</v>
      </c>
      <c r="AD165" s="72">
        <v>0</v>
      </c>
      <c r="AE165" s="24">
        <v>0</v>
      </c>
      <c r="AF165" s="72">
        <f>SUM(J165:AE165)</f>
        <v>4.2</v>
      </c>
    </row>
    <row r="166" spans="7:32" ht="24" x14ac:dyDescent="0.3">
      <c r="G166" s="5">
        <v>152</v>
      </c>
      <c r="H166" s="2"/>
      <c r="I166" s="83" t="s">
        <v>222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44">
        <v>0</v>
      </c>
      <c r="AB166" s="24">
        <v>0</v>
      </c>
      <c r="AC166" s="24">
        <f>190*0.02</f>
        <v>3.8000000000000003</v>
      </c>
      <c r="AD166" s="72">
        <v>0</v>
      </c>
      <c r="AE166" s="24">
        <v>0</v>
      </c>
      <c r="AF166" s="72">
        <f>SUM(J166:AE166)</f>
        <v>3.8000000000000003</v>
      </c>
    </row>
    <row r="167" spans="7:32" ht="24" x14ac:dyDescent="0.3">
      <c r="G167" s="5">
        <v>153</v>
      </c>
      <c r="H167" s="2"/>
      <c r="I167" s="2" t="s">
        <v>223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44">
        <v>0</v>
      </c>
      <c r="AB167" s="24">
        <v>0</v>
      </c>
      <c r="AC167" s="24">
        <f>190*0.02</f>
        <v>3.8000000000000003</v>
      </c>
      <c r="AD167" s="72">
        <v>0</v>
      </c>
      <c r="AE167" s="24">
        <v>0</v>
      </c>
      <c r="AF167" s="72">
        <f>SUM(J167:AE167)</f>
        <v>3.8000000000000003</v>
      </c>
    </row>
    <row r="168" spans="7:32" ht="24" x14ac:dyDescent="0.3">
      <c r="G168" s="5">
        <v>154</v>
      </c>
      <c r="H168" s="2"/>
      <c r="I168" s="2" t="s">
        <v>205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f>60*0.06</f>
        <v>3.5999999999999996</v>
      </c>
      <c r="AA168" s="44">
        <v>0</v>
      </c>
      <c r="AB168" s="23">
        <v>0</v>
      </c>
      <c r="AC168" s="23">
        <v>0</v>
      </c>
      <c r="AD168" s="72">
        <v>0</v>
      </c>
      <c r="AE168" s="24">
        <v>0</v>
      </c>
      <c r="AF168" s="72">
        <f>SUM(J168:AE168)</f>
        <v>3.5999999999999996</v>
      </c>
    </row>
    <row r="169" spans="7:32" ht="24" x14ac:dyDescent="0.3">
      <c r="G169" s="5">
        <v>155</v>
      </c>
      <c r="H169" s="2"/>
      <c r="I169" s="77" t="s">
        <v>206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f>60*0.06</f>
        <v>3.5999999999999996</v>
      </c>
      <c r="AA169" s="24">
        <v>0</v>
      </c>
      <c r="AB169" s="65">
        <v>0</v>
      </c>
      <c r="AC169" s="23">
        <v>0</v>
      </c>
      <c r="AD169" s="72">
        <v>0</v>
      </c>
      <c r="AE169" s="24">
        <v>0</v>
      </c>
      <c r="AF169" s="72">
        <f>SUM(J169:AE169)</f>
        <v>3.5999999999999996</v>
      </c>
    </row>
    <row r="170" spans="7:32" ht="24" x14ac:dyDescent="0.3">
      <c r="G170" s="5">
        <v>156</v>
      </c>
      <c r="H170" s="2"/>
      <c r="I170" s="2" t="s">
        <v>175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f>170*0.02</f>
        <v>3.4</v>
      </c>
      <c r="X170" s="24">
        <v>0</v>
      </c>
      <c r="Y170" s="24">
        <v>0</v>
      </c>
      <c r="Z170" s="24">
        <v>0</v>
      </c>
      <c r="AA170" s="24">
        <v>0</v>
      </c>
      <c r="AB170" s="23">
        <v>0</v>
      </c>
      <c r="AC170" s="23">
        <v>0</v>
      </c>
      <c r="AD170" s="72">
        <v>0</v>
      </c>
      <c r="AE170" s="24">
        <v>0</v>
      </c>
      <c r="AF170" s="72">
        <f>SUM(J170:AE170)</f>
        <v>3.4</v>
      </c>
    </row>
    <row r="171" spans="7:32" ht="24" x14ac:dyDescent="0.3">
      <c r="G171" s="5">
        <v>157</v>
      </c>
      <c r="H171" s="2"/>
      <c r="I171" s="2" t="s">
        <v>21</v>
      </c>
      <c r="J171" s="24">
        <f>300*0.01</f>
        <v>3</v>
      </c>
      <c r="K171" s="24">
        <v>0</v>
      </c>
      <c r="L171" s="24">
        <v>0</v>
      </c>
      <c r="M171" s="24">
        <v>0</v>
      </c>
      <c r="N171" s="23">
        <v>0</v>
      </c>
      <c r="O171" s="23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3">
        <v>0</v>
      </c>
      <c r="AC171" s="23">
        <v>0</v>
      </c>
      <c r="AD171" s="72">
        <v>0</v>
      </c>
      <c r="AE171" s="24">
        <v>0</v>
      </c>
      <c r="AF171" s="72">
        <f>SUM(J171:AE171)</f>
        <v>3</v>
      </c>
    </row>
    <row r="172" spans="7:32" ht="24" x14ac:dyDescent="0.3">
      <c r="G172" s="5">
        <v>158</v>
      </c>
      <c r="H172" s="2"/>
      <c r="I172" s="77" t="s">
        <v>157</v>
      </c>
      <c r="J172" s="24">
        <f>300*0.01</f>
        <v>3</v>
      </c>
      <c r="K172" s="24">
        <v>0</v>
      </c>
      <c r="L172" s="24">
        <v>0</v>
      </c>
      <c r="M172" s="24">
        <v>0</v>
      </c>
      <c r="N172" s="23">
        <v>0</v>
      </c>
      <c r="O172" s="23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3">
        <v>0</v>
      </c>
      <c r="AC172" s="23">
        <v>0</v>
      </c>
      <c r="AD172" s="72">
        <v>0</v>
      </c>
      <c r="AE172" s="24">
        <v>0</v>
      </c>
      <c r="AF172" s="72">
        <f>SUM(J172:AE172)</f>
        <v>3</v>
      </c>
    </row>
    <row r="173" spans="7:32" ht="24" x14ac:dyDescent="0.3">
      <c r="G173" s="5">
        <v>159</v>
      </c>
      <c r="H173" s="2"/>
      <c r="I173" s="2" t="s">
        <v>158</v>
      </c>
      <c r="J173" s="24">
        <f>300*0.01</f>
        <v>3</v>
      </c>
      <c r="K173" s="24">
        <v>0</v>
      </c>
      <c r="L173" s="24">
        <v>0</v>
      </c>
      <c r="M173" s="24">
        <v>0</v>
      </c>
      <c r="N173" s="23">
        <v>0</v>
      </c>
      <c r="O173" s="23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3">
        <v>0</v>
      </c>
      <c r="AC173" s="23">
        <v>0</v>
      </c>
      <c r="AD173" s="72">
        <v>0</v>
      </c>
      <c r="AE173" s="24">
        <v>0</v>
      </c>
      <c r="AF173" s="72">
        <f>SUM(J173:AE173)</f>
        <v>3</v>
      </c>
    </row>
    <row r="174" spans="7:32" ht="24" x14ac:dyDescent="0.3">
      <c r="G174" s="5">
        <v>160</v>
      </c>
      <c r="H174" s="2"/>
      <c r="I174" s="77" t="s">
        <v>159</v>
      </c>
      <c r="J174" s="23">
        <f>300*0.01</f>
        <v>3</v>
      </c>
      <c r="K174" s="23">
        <v>0</v>
      </c>
      <c r="L174" s="24">
        <v>0</v>
      </c>
      <c r="M174" s="23">
        <v>0</v>
      </c>
      <c r="N174" s="23">
        <v>0</v>
      </c>
      <c r="O174" s="23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3">
        <v>0</v>
      </c>
      <c r="AC174" s="23">
        <v>0</v>
      </c>
      <c r="AD174" s="72">
        <v>0</v>
      </c>
      <c r="AE174" s="24">
        <v>0</v>
      </c>
      <c r="AF174" s="72">
        <f>SUM(J174:AE174)</f>
        <v>3</v>
      </c>
    </row>
    <row r="175" spans="7:32" ht="24" x14ac:dyDescent="0.3">
      <c r="G175" s="5">
        <v>161</v>
      </c>
      <c r="H175" s="2"/>
      <c r="I175" s="2" t="s">
        <v>95</v>
      </c>
      <c r="J175" s="24">
        <f>300*0.01</f>
        <v>3</v>
      </c>
      <c r="K175" s="24">
        <v>0</v>
      </c>
      <c r="L175" s="24">
        <v>0</v>
      </c>
      <c r="M175" s="24">
        <v>0</v>
      </c>
      <c r="N175" s="23">
        <v>0</v>
      </c>
      <c r="O175" s="23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3">
        <v>0</v>
      </c>
      <c r="AC175" s="23">
        <v>0</v>
      </c>
      <c r="AD175" s="72">
        <v>0</v>
      </c>
      <c r="AE175" s="24">
        <v>0</v>
      </c>
      <c r="AF175" s="72">
        <f>SUM(J175:AE175)</f>
        <v>3</v>
      </c>
    </row>
    <row r="176" spans="7:32" ht="24" x14ac:dyDescent="0.3">
      <c r="G176" s="5">
        <v>162</v>
      </c>
      <c r="H176" s="2"/>
      <c r="I176" s="2" t="s">
        <v>97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f>300*0.01</f>
        <v>3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3">
        <v>0</v>
      </c>
      <c r="AC176" s="23">
        <v>0</v>
      </c>
      <c r="AD176" s="72">
        <v>0</v>
      </c>
      <c r="AE176" s="24">
        <v>0</v>
      </c>
      <c r="AF176" s="72">
        <f>SUM(J176:AE176)</f>
        <v>3</v>
      </c>
    </row>
    <row r="177" spans="7:32" ht="24" x14ac:dyDescent="0.3">
      <c r="G177" s="5">
        <v>163</v>
      </c>
      <c r="H177" s="2"/>
      <c r="I177" s="3" t="s">
        <v>45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f>300*0.01</f>
        <v>3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3">
        <v>0</v>
      </c>
      <c r="AC177" s="23">
        <v>0</v>
      </c>
      <c r="AD177" s="72">
        <v>0</v>
      </c>
      <c r="AE177" s="24">
        <v>0</v>
      </c>
      <c r="AF177" s="72">
        <f>SUM(J177:AE177)</f>
        <v>3</v>
      </c>
    </row>
    <row r="178" spans="7:32" ht="24" x14ac:dyDescent="0.3">
      <c r="G178" s="5">
        <v>164</v>
      </c>
      <c r="H178" s="2"/>
      <c r="I178" s="2" t="s">
        <v>48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f>300*0.01</f>
        <v>3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3">
        <v>0</v>
      </c>
      <c r="AC178" s="23">
        <v>0</v>
      </c>
      <c r="AD178" s="72">
        <v>0</v>
      </c>
      <c r="AE178" s="24">
        <v>0</v>
      </c>
      <c r="AF178" s="72">
        <f>SUM(J178:AE178)</f>
        <v>3</v>
      </c>
    </row>
    <row r="179" spans="7:32" ht="24" x14ac:dyDescent="0.3">
      <c r="G179" s="5">
        <v>165</v>
      </c>
      <c r="H179" s="2"/>
      <c r="I179" s="2" t="s">
        <v>50</v>
      </c>
      <c r="J179" s="24">
        <v>0</v>
      </c>
      <c r="K179" s="24">
        <v>0</v>
      </c>
      <c r="L179" s="24">
        <v>0</v>
      </c>
      <c r="M179" s="24">
        <f>270*0.01</f>
        <v>2.7</v>
      </c>
      <c r="N179" s="23">
        <v>0</v>
      </c>
      <c r="O179" s="23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3">
        <v>0</v>
      </c>
      <c r="AC179" s="23">
        <v>0</v>
      </c>
      <c r="AD179" s="24">
        <v>0</v>
      </c>
      <c r="AE179" s="24">
        <v>0</v>
      </c>
      <c r="AF179" s="72">
        <f>SUM(J179:AE179)</f>
        <v>2.7</v>
      </c>
    </row>
    <row r="180" spans="7:32" ht="24" x14ac:dyDescent="0.3">
      <c r="G180" s="5">
        <v>166</v>
      </c>
      <c r="H180" s="2"/>
      <c r="I180" s="2" t="s">
        <v>151</v>
      </c>
      <c r="J180" s="24">
        <v>0</v>
      </c>
      <c r="K180" s="24">
        <v>0</v>
      </c>
      <c r="L180" s="24">
        <v>0</v>
      </c>
      <c r="M180" s="24">
        <f>270*0.01</f>
        <v>2.7</v>
      </c>
      <c r="N180" s="23">
        <v>0</v>
      </c>
      <c r="O180" s="23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3">
        <v>0</v>
      </c>
      <c r="AC180" s="23">
        <v>0</v>
      </c>
      <c r="AD180" s="24">
        <v>0</v>
      </c>
      <c r="AE180" s="24">
        <v>0</v>
      </c>
      <c r="AF180" s="72">
        <f>SUM(J180:AE180)</f>
        <v>2.7</v>
      </c>
    </row>
    <row r="181" spans="7:32" ht="24" x14ac:dyDescent="0.3">
      <c r="G181" s="5">
        <v>167</v>
      </c>
      <c r="H181" s="2"/>
      <c r="I181" s="2" t="s">
        <v>84</v>
      </c>
      <c r="J181" s="23">
        <v>0</v>
      </c>
      <c r="K181" s="23">
        <f>260*0.01</f>
        <v>2.6</v>
      </c>
      <c r="L181" s="24">
        <v>0</v>
      </c>
      <c r="M181" s="23">
        <v>0</v>
      </c>
      <c r="N181" s="23">
        <v>0</v>
      </c>
      <c r="O181" s="23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3">
        <v>0</v>
      </c>
      <c r="AC181" s="23">
        <v>0</v>
      </c>
      <c r="AD181" s="24">
        <v>0</v>
      </c>
      <c r="AE181" s="24">
        <v>0</v>
      </c>
      <c r="AF181" s="72">
        <f>SUM(J181:AE181)</f>
        <v>2.6</v>
      </c>
    </row>
    <row r="182" spans="7:32" ht="24" x14ac:dyDescent="0.3">
      <c r="G182" s="5">
        <v>168</v>
      </c>
      <c r="H182" s="2"/>
      <c r="I182" s="2" t="s">
        <v>85</v>
      </c>
      <c r="J182" s="24">
        <v>0</v>
      </c>
      <c r="K182" s="24">
        <f>260*0.01</f>
        <v>2.6</v>
      </c>
      <c r="L182" s="24">
        <v>0</v>
      </c>
      <c r="M182" s="24">
        <v>0</v>
      </c>
      <c r="N182" s="23">
        <v>0</v>
      </c>
      <c r="O182" s="23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3">
        <v>0</v>
      </c>
      <c r="AC182" s="23">
        <v>0</v>
      </c>
      <c r="AD182" s="24">
        <v>0</v>
      </c>
      <c r="AE182" s="24">
        <v>0</v>
      </c>
      <c r="AF182" s="72">
        <f>SUM(J182:AE182)</f>
        <v>2.6</v>
      </c>
    </row>
    <row r="183" spans="7:32" ht="24" x14ac:dyDescent="0.3">
      <c r="G183" s="5">
        <v>169</v>
      </c>
      <c r="H183" s="2"/>
      <c r="I183" s="3" t="s">
        <v>86</v>
      </c>
      <c r="J183" s="24">
        <v>0</v>
      </c>
      <c r="K183" s="24">
        <f>260*0.01</f>
        <v>2.6</v>
      </c>
      <c r="L183" s="24">
        <v>0</v>
      </c>
      <c r="M183" s="24">
        <v>0</v>
      </c>
      <c r="N183" s="23">
        <v>0</v>
      </c>
      <c r="O183" s="23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3">
        <v>0</v>
      </c>
      <c r="AC183" s="23">
        <v>0</v>
      </c>
      <c r="AD183" s="24">
        <v>0</v>
      </c>
      <c r="AE183" s="24">
        <v>0</v>
      </c>
      <c r="AF183" s="72">
        <f>SUM(J183:AE183)</f>
        <v>2.6</v>
      </c>
    </row>
    <row r="184" spans="7:32" ht="24" x14ac:dyDescent="0.3">
      <c r="G184" s="5">
        <v>170</v>
      </c>
      <c r="H184" s="2"/>
      <c r="I184" s="2" t="s">
        <v>107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f>260*0.01</f>
        <v>2.6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3">
        <v>0</v>
      </c>
      <c r="AC184" s="23">
        <v>0</v>
      </c>
      <c r="AD184" s="24">
        <v>0</v>
      </c>
      <c r="AE184" s="24">
        <v>0</v>
      </c>
      <c r="AF184" s="72">
        <f>SUM(J184:AE184)</f>
        <v>2.6</v>
      </c>
    </row>
    <row r="185" spans="7:32" ht="24" x14ac:dyDescent="0.3">
      <c r="G185" s="5">
        <v>171</v>
      </c>
      <c r="H185" s="2"/>
      <c r="I185" s="2" t="s">
        <v>116</v>
      </c>
      <c r="J185" s="24">
        <v>0</v>
      </c>
      <c r="K185" s="24">
        <v>0</v>
      </c>
      <c r="L185" s="24">
        <f>250*0.01</f>
        <v>2.5</v>
      </c>
      <c r="M185" s="24">
        <v>0</v>
      </c>
      <c r="N185" s="23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3">
        <v>0</v>
      </c>
      <c r="AC185" s="23">
        <v>0</v>
      </c>
      <c r="AD185" s="24">
        <v>0</v>
      </c>
      <c r="AE185" s="24">
        <v>0</v>
      </c>
      <c r="AF185" s="72">
        <f>SUM(J185:AE185)</f>
        <v>2.5</v>
      </c>
    </row>
    <row r="186" spans="7:32" ht="24" x14ac:dyDescent="0.3">
      <c r="G186" s="5">
        <v>172</v>
      </c>
      <c r="H186" s="2"/>
      <c r="I186" s="2" t="s">
        <v>117</v>
      </c>
      <c r="J186" s="24">
        <v>0</v>
      </c>
      <c r="K186" s="24">
        <v>0</v>
      </c>
      <c r="L186" s="24">
        <f>250*0.01</f>
        <v>2.5</v>
      </c>
      <c r="M186" s="24">
        <v>0</v>
      </c>
      <c r="N186" s="23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3">
        <v>0</v>
      </c>
      <c r="AC186" s="23">
        <v>0</v>
      </c>
      <c r="AD186" s="24">
        <v>0</v>
      </c>
      <c r="AE186" s="24">
        <v>0</v>
      </c>
      <c r="AF186" s="72">
        <f>SUM(J186:AE186)</f>
        <v>2.5</v>
      </c>
    </row>
    <row r="187" spans="7:32" ht="24" x14ac:dyDescent="0.3">
      <c r="G187" s="5">
        <v>173</v>
      </c>
      <c r="H187" s="2"/>
      <c r="I187" s="2" t="s">
        <v>168</v>
      </c>
      <c r="J187" s="23">
        <v>0</v>
      </c>
      <c r="K187" s="23">
        <v>0</v>
      </c>
      <c r="L187" s="23">
        <f>250*0.01</f>
        <v>2.5</v>
      </c>
      <c r="M187" s="23">
        <v>0</v>
      </c>
      <c r="N187" s="23">
        <v>0</v>
      </c>
      <c r="O187" s="23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3">
        <v>0</v>
      </c>
      <c r="AC187" s="23">
        <v>0</v>
      </c>
      <c r="AD187" s="24">
        <v>0</v>
      </c>
      <c r="AE187" s="24">
        <v>0</v>
      </c>
      <c r="AF187" s="72">
        <f>SUM(J187:AE187)</f>
        <v>2.5</v>
      </c>
    </row>
    <row r="188" spans="7:32" ht="24" x14ac:dyDescent="0.3">
      <c r="G188" s="5">
        <v>174</v>
      </c>
      <c r="H188" s="2"/>
      <c r="I188" s="2" t="s">
        <v>136</v>
      </c>
      <c r="J188" s="24">
        <v>0</v>
      </c>
      <c r="K188" s="24">
        <v>0</v>
      </c>
      <c r="L188" s="24">
        <v>0</v>
      </c>
      <c r="M188" s="24">
        <v>0</v>
      </c>
      <c r="N188" s="24">
        <f>250*0.01</f>
        <v>2.5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3">
        <v>0</v>
      </c>
      <c r="AC188" s="23">
        <v>0</v>
      </c>
      <c r="AD188" s="24">
        <v>0</v>
      </c>
      <c r="AE188" s="24">
        <v>0</v>
      </c>
      <c r="AF188" s="72">
        <f>SUM(J188:AE188)</f>
        <v>2.5</v>
      </c>
    </row>
    <row r="189" spans="7:32" ht="24" x14ac:dyDescent="0.3">
      <c r="G189" s="5">
        <v>175</v>
      </c>
      <c r="H189" s="2"/>
      <c r="I189" s="2" t="s">
        <v>137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f>250*0.01</f>
        <v>2.5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3">
        <v>0</v>
      </c>
      <c r="AC189" s="23">
        <v>0</v>
      </c>
      <c r="AD189" s="24">
        <v>0</v>
      </c>
      <c r="AE189" s="24">
        <v>0</v>
      </c>
      <c r="AF189" s="72">
        <f>SUM(J189:AE189)</f>
        <v>2.5</v>
      </c>
    </row>
    <row r="190" spans="7:32" ht="24" x14ac:dyDescent="0.3">
      <c r="G190" s="5">
        <v>176</v>
      </c>
      <c r="H190" s="2"/>
      <c r="I190" s="2" t="s">
        <v>124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f>250*0.01</f>
        <v>2.5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3">
        <v>0</v>
      </c>
      <c r="AC190" s="23">
        <v>0</v>
      </c>
      <c r="AD190" s="24">
        <v>0</v>
      </c>
      <c r="AE190" s="24">
        <v>0</v>
      </c>
      <c r="AF190" s="72">
        <f>SUM(J190:AE190)</f>
        <v>2.5</v>
      </c>
    </row>
    <row r="191" spans="7:32" ht="24" x14ac:dyDescent="0.3">
      <c r="G191" s="5">
        <v>177</v>
      </c>
      <c r="H191" s="2"/>
      <c r="I191" s="60" t="s">
        <v>193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f>250*0.01</f>
        <v>2.5</v>
      </c>
      <c r="Z191" s="24">
        <v>0</v>
      </c>
      <c r="AA191" s="24">
        <v>0</v>
      </c>
      <c r="AB191" s="23">
        <v>0</v>
      </c>
      <c r="AC191" s="23">
        <v>0</v>
      </c>
      <c r="AD191" s="24">
        <v>0</v>
      </c>
      <c r="AE191" s="24">
        <v>0</v>
      </c>
      <c r="AF191" s="72">
        <f>SUM(J191:AE191)</f>
        <v>2.5</v>
      </c>
    </row>
    <row r="192" spans="7:32" ht="24" x14ac:dyDescent="0.3">
      <c r="G192" s="5">
        <v>178</v>
      </c>
      <c r="H192" s="2"/>
      <c r="I192" s="2" t="s">
        <v>128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f>240*0.01</f>
        <v>2.4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3">
        <v>0</v>
      </c>
      <c r="AC192" s="23">
        <v>0</v>
      </c>
      <c r="AD192" s="24">
        <v>0</v>
      </c>
      <c r="AE192" s="24">
        <v>0</v>
      </c>
      <c r="AF192" s="72">
        <f>SUM(J192:AE192)</f>
        <v>2.4</v>
      </c>
    </row>
    <row r="193" spans="7:32" ht="24" x14ac:dyDescent="0.3">
      <c r="G193" s="5">
        <v>179</v>
      </c>
      <c r="H193" s="2"/>
      <c r="I193" s="2" t="s">
        <v>129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f>240*0.01</f>
        <v>2.4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3">
        <v>0</v>
      </c>
      <c r="AC193" s="23">
        <v>0</v>
      </c>
      <c r="AD193" s="24">
        <v>0</v>
      </c>
      <c r="AE193" s="24">
        <v>0</v>
      </c>
      <c r="AF193" s="72">
        <f>SUM(J193:AE193)</f>
        <v>2.4</v>
      </c>
    </row>
    <row r="194" spans="7:32" ht="24" x14ac:dyDescent="0.3">
      <c r="G194" s="5">
        <v>180</v>
      </c>
      <c r="H194" s="2"/>
      <c r="I194" s="2" t="s">
        <v>184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f>220*0.01</f>
        <v>2.2000000000000002</v>
      </c>
      <c r="Y194" s="24">
        <v>0</v>
      </c>
      <c r="Z194" s="24">
        <v>0</v>
      </c>
      <c r="AA194" s="24">
        <v>0</v>
      </c>
      <c r="AB194" s="23">
        <v>0</v>
      </c>
      <c r="AC194" s="23">
        <v>0</v>
      </c>
      <c r="AD194" s="24">
        <v>0</v>
      </c>
      <c r="AE194" s="24">
        <v>0</v>
      </c>
      <c r="AF194" s="72">
        <f>SUM(J194:AE194)</f>
        <v>2.2000000000000002</v>
      </c>
    </row>
    <row r="195" spans="7:32" ht="24" x14ac:dyDescent="0.3">
      <c r="G195" s="5">
        <v>181</v>
      </c>
      <c r="H195" s="2"/>
      <c r="I195" s="2" t="s">
        <v>167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f>210*0.01</f>
        <v>2.1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3">
        <v>0</v>
      </c>
      <c r="AC195" s="23">
        <v>0</v>
      </c>
      <c r="AD195" s="24">
        <v>0</v>
      </c>
      <c r="AE195" s="24">
        <v>0</v>
      </c>
      <c r="AF195" s="72">
        <f>SUM(J195:AE195)</f>
        <v>2.1</v>
      </c>
    </row>
    <row r="196" spans="7:32" ht="24" x14ac:dyDescent="0.3">
      <c r="G196" s="5">
        <v>182</v>
      </c>
      <c r="H196" s="2"/>
      <c r="I196" s="2" t="s">
        <v>169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f>210*0.01</f>
        <v>2.1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3">
        <v>0</v>
      </c>
      <c r="AC196" s="23">
        <v>0</v>
      </c>
      <c r="AD196" s="24">
        <v>0</v>
      </c>
      <c r="AE196" s="24">
        <v>0</v>
      </c>
      <c r="AF196" s="72">
        <f>SUM(J196:AE196)</f>
        <v>2.1</v>
      </c>
    </row>
    <row r="197" spans="7:32" ht="24" x14ac:dyDescent="0.3">
      <c r="G197" s="5">
        <v>183</v>
      </c>
      <c r="H197" s="2"/>
      <c r="I197" s="2" t="s">
        <v>230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f>200*0.01</f>
        <v>2</v>
      </c>
      <c r="AE197" s="24">
        <v>0</v>
      </c>
      <c r="AF197" s="72">
        <f>SUM(J197:AE197)</f>
        <v>2</v>
      </c>
    </row>
    <row r="198" spans="7:32" ht="24" x14ac:dyDescent="0.3">
      <c r="G198" s="5">
        <v>184</v>
      </c>
      <c r="H198" s="2"/>
      <c r="I198" s="2" t="s">
        <v>231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f>200*0.01</f>
        <v>2</v>
      </c>
      <c r="AE198" s="24">
        <v>0</v>
      </c>
      <c r="AF198" s="72">
        <f>SUM(J198:AE198)</f>
        <v>2</v>
      </c>
    </row>
    <row r="199" spans="7:32" ht="24" x14ac:dyDescent="0.3">
      <c r="G199" s="5">
        <v>185</v>
      </c>
      <c r="H199" s="2"/>
      <c r="I199" s="2"/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/>
      <c r="AF199" s="72">
        <f t="shared" ref="AF191:AF239" si="0">SUM(J199:AE199)</f>
        <v>0</v>
      </c>
    </row>
    <row r="200" spans="7:32" ht="24" x14ac:dyDescent="0.3">
      <c r="G200" s="5">
        <v>186</v>
      </c>
      <c r="H200" s="2"/>
      <c r="I200" s="2"/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/>
      <c r="AF200" s="72">
        <f t="shared" si="0"/>
        <v>0</v>
      </c>
    </row>
    <row r="201" spans="7:32" ht="24" x14ac:dyDescent="0.3">
      <c r="G201" s="5">
        <v>187</v>
      </c>
      <c r="H201" s="2"/>
      <c r="I201" s="2"/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/>
      <c r="AF201" s="72">
        <f t="shared" si="0"/>
        <v>0</v>
      </c>
    </row>
    <row r="202" spans="7:32" ht="24" x14ac:dyDescent="0.3">
      <c r="G202" s="5">
        <v>188</v>
      </c>
      <c r="H202" s="2"/>
      <c r="I202" s="2"/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/>
      <c r="AF202" s="72">
        <f t="shared" si="0"/>
        <v>0</v>
      </c>
    </row>
    <row r="203" spans="7:32" ht="24" x14ac:dyDescent="0.3">
      <c r="G203" s="5">
        <v>189</v>
      </c>
      <c r="H203" s="2"/>
      <c r="I203" s="2"/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/>
      <c r="AF203" s="72">
        <f t="shared" si="0"/>
        <v>0</v>
      </c>
    </row>
    <row r="204" spans="7:32" ht="24" x14ac:dyDescent="0.3">
      <c r="G204" s="5">
        <v>190</v>
      </c>
      <c r="H204" s="2"/>
      <c r="I204" s="2"/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/>
      <c r="AF204" s="72">
        <f t="shared" si="0"/>
        <v>0</v>
      </c>
    </row>
    <row r="205" spans="7:32" ht="24" x14ac:dyDescent="0.3">
      <c r="G205" s="5">
        <v>191</v>
      </c>
      <c r="H205" s="2"/>
      <c r="I205" s="2"/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/>
      <c r="AF205" s="72">
        <f t="shared" si="0"/>
        <v>0</v>
      </c>
    </row>
    <row r="206" spans="7:32" ht="24" x14ac:dyDescent="0.3">
      <c r="G206" s="5">
        <v>192</v>
      </c>
      <c r="H206" s="2"/>
      <c r="I206" s="2"/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/>
      <c r="AF206" s="72">
        <f t="shared" si="0"/>
        <v>0</v>
      </c>
    </row>
    <row r="207" spans="7:32" ht="24" x14ac:dyDescent="0.3">
      <c r="G207" s="5">
        <v>193</v>
      </c>
      <c r="H207" s="2"/>
      <c r="I207" s="2"/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/>
      <c r="AF207" s="72">
        <f t="shared" si="0"/>
        <v>0</v>
      </c>
    </row>
    <row r="208" spans="7:32" ht="24" x14ac:dyDescent="0.3">
      <c r="G208" s="5">
        <v>194</v>
      </c>
      <c r="H208" s="2"/>
      <c r="I208" s="2"/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/>
      <c r="AF208" s="72">
        <f t="shared" si="0"/>
        <v>0</v>
      </c>
    </row>
    <row r="209" spans="7:32" ht="24" x14ac:dyDescent="0.3">
      <c r="G209" s="5">
        <v>195</v>
      </c>
      <c r="H209" s="2"/>
      <c r="I209" s="2"/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/>
      <c r="AF209" s="72">
        <f t="shared" si="0"/>
        <v>0</v>
      </c>
    </row>
    <row r="210" spans="7:32" ht="24" x14ac:dyDescent="0.3">
      <c r="G210" s="5">
        <v>196</v>
      </c>
      <c r="H210" s="2"/>
      <c r="I210" s="2"/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/>
      <c r="AF210" s="72">
        <f t="shared" si="0"/>
        <v>0</v>
      </c>
    </row>
    <row r="211" spans="7:32" ht="24" x14ac:dyDescent="0.3">
      <c r="G211" s="5">
        <v>197</v>
      </c>
      <c r="H211" s="2"/>
      <c r="I211" s="2"/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/>
      <c r="AF211" s="72">
        <f t="shared" si="0"/>
        <v>0</v>
      </c>
    </row>
    <row r="212" spans="7:32" ht="24" x14ac:dyDescent="0.3">
      <c r="G212" s="5">
        <v>198</v>
      </c>
      <c r="H212" s="2"/>
      <c r="I212" s="2"/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/>
      <c r="AF212" s="72">
        <f t="shared" si="0"/>
        <v>0</v>
      </c>
    </row>
    <row r="213" spans="7:32" ht="24" x14ac:dyDescent="0.3">
      <c r="G213" s="5">
        <v>199</v>
      </c>
      <c r="H213" s="2"/>
      <c r="I213" s="2"/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/>
      <c r="AF213" s="72">
        <f t="shared" si="0"/>
        <v>0</v>
      </c>
    </row>
    <row r="214" spans="7:32" ht="24" x14ac:dyDescent="0.3">
      <c r="G214" s="5">
        <v>200</v>
      </c>
      <c r="H214" s="2"/>
      <c r="I214" s="2"/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/>
      <c r="AF214" s="72">
        <f t="shared" si="0"/>
        <v>0</v>
      </c>
    </row>
    <row r="215" spans="7:32" ht="24" x14ac:dyDescent="0.3">
      <c r="G215" s="5">
        <v>201</v>
      </c>
      <c r="H215" s="2"/>
      <c r="I215" s="2"/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/>
      <c r="AF215" s="72">
        <f t="shared" si="0"/>
        <v>0</v>
      </c>
    </row>
    <row r="216" spans="7:32" ht="24" x14ac:dyDescent="0.3">
      <c r="G216" s="5">
        <v>202</v>
      </c>
      <c r="H216" s="2"/>
      <c r="I216" s="2"/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/>
      <c r="AF216" s="72">
        <f t="shared" si="0"/>
        <v>0</v>
      </c>
    </row>
    <row r="217" spans="7:32" ht="24" x14ac:dyDescent="0.3">
      <c r="G217" s="5">
        <v>203</v>
      </c>
      <c r="H217" s="2"/>
      <c r="I217" s="2"/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  <c r="AE217" s="24"/>
      <c r="AF217" s="72">
        <f t="shared" si="0"/>
        <v>0</v>
      </c>
    </row>
    <row r="218" spans="7:32" ht="24" x14ac:dyDescent="0.3">
      <c r="G218" s="5">
        <v>204</v>
      </c>
      <c r="H218" s="2"/>
      <c r="I218" s="2"/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/>
      <c r="AF218" s="72">
        <f t="shared" si="0"/>
        <v>0</v>
      </c>
    </row>
    <row r="219" spans="7:32" ht="24" x14ac:dyDescent="0.3">
      <c r="G219" s="5">
        <v>205</v>
      </c>
      <c r="H219" s="2"/>
      <c r="I219" s="2"/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/>
      <c r="AF219" s="72">
        <f t="shared" si="0"/>
        <v>0</v>
      </c>
    </row>
    <row r="220" spans="7:32" ht="24" x14ac:dyDescent="0.3">
      <c r="G220" s="5">
        <v>206</v>
      </c>
      <c r="H220" s="2"/>
      <c r="I220" s="2"/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/>
      <c r="AF220" s="72">
        <f t="shared" si="0"/>
        <v>0</v>
      </c>
    </row>
    <row r="221" spans="7:32" ht="24" x14ac:dyDescent="0.3">
      <c r="G221" s="5">
        <v>207</v>
      </c>
      <c r="H221" s="2"/>
      <c r="I221" s="2"/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/>
      <c r="AF221" s="72">
        <f t="shared" si="0"/>
        <v>0</v>
      </c>
    </row>
    <row r="222" spans="7:32" ht="24" x14ac:dyDescent="0.3">
      <c r="G222" s="5">
        <v>208</v>
      </c>
      <c r="H222" s="2"/>
      <c r="I222" s="2"/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/>
      <c r="AF222" s="72">
        <f t="shared" si="0"/>
        <v>0</v>
      </c>
    </row>
    <row r="223" spans="7:32" ht="24" x14ac:dyDescent="0.3">
      <c r="G223" s="5">
        <v>209</v>
      </c>
      <c r="H223" s="2"/>
      <c r="I223" s="2"/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/>
      <c r="AF223" s="72">
        <f t="shared" si="0"/>
        <v>0</v>
      </c>
    </row>
    <row r="224" spans="7:32" ht="24" x14ac:dyDescent="0.3">
      <c r="G224" s="5">
        <v>210</v>
      </c>
      <c r="H224" s="2"/>
      <c r="I224" s="2"/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/>
      <c r="AF224" s="72">
        <f t="shared" si="0"/>
        <v>0</v>
      </c>
    </row>
    <row r="225" spans="7:32" ht="24" x14ac:dyDescent="0.3">
      <c r="G225" s="5">
        <v>211</v>
      </c>
      <c r="H225" s="2"/>
      <c r="I225" s="2"/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/>
      <c r="AF225" s="72">
        <f t="shared" si="0"/>
        <v>0</v>
      </c>
    </row>
    <row r="226" spans="7:32" ht="24" x14ac:dyDescent="0.3">
      <c r="G226" s="5">
        <v>212</v>
      </c>
      <c r="H226" s="2"/>
      <c r="I226" s="2"/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/>
      <c r="AF226" s="72">
        <f t="shared" si="0"/>
        <v>0</v>
      </c>
    </row>
    <row r="227" spans="7:32" ht="24" x14ac:dyDescent="0.3">
      <c r="G227" s="5">
        <v>213</v>
      </c>
      <c r="H227" s="2"/>
      <c r="I227" s="2"/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/>
      <c r="AF227" s="72">
        <f t="shared" si="0"/>
        <v>0</v>
      </c>
    </row>
    <row r="228" spans="7:32" ht="24" x14ac:dyDescent="0.3">
      <c r="G228" s="5">
        <v>214</v>
      </c>
      <c r="H228" s="2"/>
      <c r="I228" s="2"/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/>
      <c r="AF228" s="72">
        <f t="shared" si="0"/>
        <v>0</v>
      </c>
    </row>
    <row r="229" spans="7:32" ht="24" x14ac:dyDescent="0.3">
      <c r="G229" s="5">
        <v>215</v>
      </c>
      <c r="H229" s="2"/>
      <c r="I229" s="2"/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0</v>
      </c>
      <c r="AE229" s="24"/>
      <c r="AF229" s="72">
        <f t="shared" si="0"/>
        <v>0</v>
      </c>
    </row>
    <row r="230" spans="7:32" ht="24" x14ac:dyDescent="0.3">
      <c r="G230" s="5">
        <v>216</v>
      </c>
      <c r="H230" s="2"/>
      <c r="I230" s="2"/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/>
      <c r="AF230" s="72">
        <f t="shared" si="0"/>
        <v>0</v>
      </c>
    </row>
    <row r="231" spans="7:32" ht="24" x14ac:dyDescent="0.3">
      <c r="G231" s="5">
        <v>217</v>
      </c>
      <c r="H231" s="2"/>
      <c r="I231" s="2"/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/>
      <c r="AF231" s="72">
        <f t="shared" si="0"/>
        <v>0</v>
      </c>
    </row>
    <row r="232" spans="7:32" ht="24" x14ac:dyDescent="0.3">
      <c r="G232" s="5">
        <v>218</v>
      </c>
      <c r="H232" s="2"/>
      <c r="I232" s="2"/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/>
      <c r="AF232" s="72">
        <f t="shared" si="0"/>
        <v>0</v>
      </c>
    </row>
    <row r="233" spans="7:32" ht="24" x14ac:dyDescent="0.3">
      <c r="G233" s="5">
        <v>219</v>
      </c>
      <c r="H233" s="2"/>
      <c r="I233" s="2"/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/>
      <c r="AF233" s="72">
        <f t="shared" si="0"/>
        <v>0</v>
      </c>
    </row>
    <row r="234" spans="7:32" ht="24" x14ac:dyDescent="0.3">
      <c r="G234" s="5">
        <v>220</v>
      </c>
      <c r="H234" s="2"/>
      <c r="I234" s="2"/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/>
      <c r="AF234" s="72">
        <f t="shared" si="0"/>
        <v>0</v>
      </c>
    </row>
    <row r="235" spans="7:32" ht="24" x14ac:dyDescent="0.3">
      <c r="G235" s="5">
        <v>221</v>
      </c>
      <c r="H235" s="2"/>
      <c r="I235" s="2"/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/>
      <c r="AF235" s="72">
        <f t="shared" si="0"/>
        <v>0</v>
      </c>
    </row>
    <row r="236" spans="7:32" ht="24" x14ac:dyDescent="0.3">
      <c r="G236" s="5">
        <v>222</v>
      </c>
      <c r="H236" s="2"/>
      <c r="I236" s="2"/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/>
      <c r="AF236" s="72">
        <f t="shared" si="0"/>
        <v>0</v>
      </c>
    </row>
    <row r="237" spans="7:32" ht="24" x14ac:dyDescent="0.3">
      <c r="G237" s="5">
        <v>223</v>
      </c>
      <c r="H237" s="2"/>
      <c r="I237" s="2"/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/>
      <c r="AF237" s="72">
        <f t="shared" si="0"/>
        <v>0</v>
      </c>
    </row>
    <row r="238" spans="7:32" ht="24" x14ac:dyDescent="0.3">
      <c r="G238" s="5">
        <v>224</v>
      </c>
      <c r="H238" s="2"/>
      <c r="I238" s="2"/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  <c r="AE238" s="24"/>
      <c r="AF238" s="72">
        <f t="shared" si="0"/>
        <v>0</v>
      </c>
    </row>
    <row r="239" spans="7:32" ht="24" x14ac:dyDescent="0.3">
      <c r="G239" s="5">
        <v>225</v>
      </c>
      <c r="H239" s="2"/>
      <c r="I239" s="2"/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0</v>
      </c>
      <c r="AE239" s="24"/>
      <c r="AF239" s="72">
        <f t="shared" si="0"/>
        <v>0</v>
      </c>
    </row>
  </sheetData>
  <sortState xmlns:xlrd2="http://schemas.microsoft.com/office/spreadsheetml/2017/richdata2" ref="I15:AF198">
    <sortCondition descending="1" ref="AF15:AF198"/>
  </sortState>
  <mergeCells count="1">
    <mergeCell ref="G5:O5"/>
  </mergeCells>
  <phoneticPr fontId="2" type="noConversion"/>
  <hyperlinks>
    <hyperlink ref="I138" r:id="rId1" location="Player-Statistics//networks/PartyPoker/players/Soilman1982" display="https://de.sharkscope.com/ - Player-Statistics//networks/PartyPoker/players/Soilman1982" xr:uid="{27EB72A2-5882-544B-8CA3-B8B730965F9A}"/>
    <hyperlink ref="I110" r:id="rId2" location="Player-Statistics//networks/PartyPoker/players/Josef.Dohnal.87" display="https://de.sharkscope.com/ - Player-Statistics//networks/PartyPoker/players/Josef.Dohnal.87" xr:uid="{02613FFC-92C4-5A4F-AC57-FFC414182580}"/>
  </hyperlinks>
  <pageMargins left="0.7" right="0.7" top="0.78740157499999996" bottom="0.78740157499999996" header="0.3" footer="0.3"/>
  <pageSetup paperSize="9" orientation="portrait" horizontalDpi="0" verticalDpi="0"/>
  <ignoredErrors>
    <ignoredError sqref="J19 L17 L21 N17 O16 O18 Q22 R19 R21:R22 S16 S17:U17 U22 AD24 AA22 A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Rangliste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Werle</dc:creator>
  <cp:lastModifiedBy>Artur Haase</cp:lastModifiedBy>
  <dcterms:created xsi:type="dcterms:W3CDTF">2022-08-01T06:08:39Z</dcterms:created>
  <dcterms:modified xsi:type="dcterms:W3CDTF">2022-12-01T16:03:33Z</dcterms:modified>
</cp:coreProperties>
</file>