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inn/Desktop/"/>
    </mc:Choice>
  </mc:AlternateContent>
  <xr:revisionPtr revIDLastSave="0" documentId="13_ncr:1_{21859F48-8B05-F543-BF5D-36BB9DF6CF04}" xr6:coauthVersionLast="47" xr6:coauthVersionMax="47" xr10:uidLastSave="{00000000-0000-0000-0000-000000000000}"/>
  <bookViews>
    <workbookView xWindow="5360" yWindow="500" windowWidth="23920" windowHeight="18800" xr2:uid="{6741EB6C-1A8F-2C40-B356-A1317DF93787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7" i="1" l="1"/>
  <c r="Z8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38" i="1"/>
  <c r="Z59" i="1"/>
  <c r="Z61" i="1"/>
  <c r="Z62" i="1"/>
  <c r="Z63" i="1"/>
  <c r="Z64" i="1"/>
  <c r="Z65" i="1"/>
  <c r="Z66" i="1"/>
  <c r="Z67" i="1"/>
  <c r="Z68" i="1"/>
  <c r="Z69" i="1"/>
  <c r="Z70" i="1"/>
  <c r="Z71" i="1"/>
  <c r="Z73" i="1"/>
  <c r="Z74" i="1"/>
  <c r="Z75" i="1"/>
  <c r="Z77" i="1"/>
  <c r="Z78" i="1"/>
  <c r="Z79" i="1"/>
  <c r="Z81" i="1"/>
  <c r="Z82" i="1"/>
  <c r="Z83" i="1"/>
  <c r="Z84" i="1"/>
  <c r="Z85" i="1"/>
  <c r="Z86" i="1"/>
  <c r="Z87" i="1"/>
  <c r="Z88" i="1"/>
  <c r="Z89" i="1"/>
  <c r="Z90" i="1"/>
  <c r="Z91" i="1"/>
  <c r="Z93" i="1"/>
  <c r="Z94" i="1"/>
  <c r="Z76" i="1"/>
  <c r="Z95" i="1"/>
  <c r="Z96" i="1"/>
  <c r="Z99" i="1"/>
  <c r="Z100" i="1"/>
  <c r="Z101" i="1"/>
  <c r="Z102" i="1"/>
  <c r="Z103" i="1"/>
  <c r="Z58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7" i="1"/>
  <c r="Z118" i="1"/>
  <c r="Z119" i="1"/>
  <c r="Z120" i="1"/>
  <c r="Z121" i="1"/>
  <c r="Z122" i="1"/>
  <c r="Z123" i="1"/>
  <c r="Z124" i="1"/>
  <c r="Z127" i="1"/>
  <c r="Z128" i="1"/>
  <c r="Z57" i="1"/>
  <c r="Z60" i="1"/>
  <c r="Z72" i="1"/>
  <c r="Z80" i="1"/>
  <c r="Z92" i="1"/>
  <c r="Z97" i="1"/>
  <c r="Z98" i="1"/>
  <c r="Z116" i="1"/>
  <c r="Z125" i="1"/>
  <c r="Z126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6" i="1"/>
  <c r="Z4" i="1"/>
  <c r="Z9" i="1"/>
  <c r="Z5" i="1"/>
  <c r="Y126" i="1"/>
  <c r="Y125" i="1"/>
  <c r="Y76" i="1"/>
  <c r="Y116" i="1"/>
  <c r="Y12" i="1"/>
  <c r="Y7" i="1"/>
  <c r="Y98" i="1"/>
  <c r="Y97" i="1"/>
  <c r="Y92" i="1"/>
  <c r="Y4" i="1"/>
  <c r="Y80" i="1"/>
  <c r="Y58" i="1"/>
  <c r="Y72" i="1"/>
  <c r="Y38" i="1"/>
  <c r="Z3" i="1"/>
  <c r="Y3" i="1"/>
  <c r="Y8" i="1"/>
  <c r="Y60" i="1"/>
  <c r="Y6" i="1"/>
  <c r="Y57" i="1"/>
  <c r="Y5" i="1"/>
  <c r="X58" i="1"/>
  <c r="X91" i="1"/>
  <c r="X76" i="1"/>
  <c r="X47" i="1"/>
  <c r="X32" i="1"/>
  <c r="X103" i="1"/>
  <c r="X51" i="1"/>
  <c r="X12" i="1"/>
  <c r="X90" i="1"/>
  <c r="X89" i="1"/>
  <c r="X8" i="1"/>
  <c r="X7" i="1"/>
  <c r="X4" i="1"/>
  <c r="X19" i="1"/>
  <c r="X6" i="1"/>
  <c r="X62" i="1"/>
  <c r="X15" i="1"/>
  <c r="X38" i="1"/>
  <c r="X5" i="1"/>
  <c r="X3" i="1"/>
  <c r="L11" i="1"/>
  <c r="W124" i="1"/>
  <c r="W10" i="1"/>
  <c r="W16" i="1"/>
  <c r="W4" i="1"/>
  <c r="W106" i="1"/>
  <c r="W7" i="1"/>
  <c r="W6" i="1"/>
  <c r="W96" i="1"/>
  <c r="W3" i="1"/>
  <c r="W17" i="1"/>
  <c r="W13" i="1"/>
  <c r="W12" i="1"/>
  <c r="W8" i="1"/>
  <c r="W5" i="1"/>
  <c r="W50" i="1"/>
  <c r="W37" i="1"/>
  <c r="W9" i="1"/>
  <c r="W15" i="1"/>
  <c r="W28" i="1"/>
  <c r="W31" i="1"/>
  <c r="S4" i="1"/>
  <c r="T8" i="1"/>
  <c r="T91" i="1"/>
  <c r="T76" i="1"/>
  <c r="T118" i="1"/>
  <c r="S76" i="1"/>
  <c r="S91" i="1"/>
  <c r="S117" i="1"/>
  <c r="S113" i="1"/>
  <c r="S112" i="1"/>
  <c r="S14" i="1"/>
  <c r="S78" i="1"/>
  <c r="S10" i="1"/>
  <c r="S53" i="1"/>
  <c r="S9" i="1"/>
  <c r="S5" i="1"/>
  <c r="S13" i="1"/>
  <c r="S3" i="1"/>
  <c r="S16" i="1"/>
  <c r="S12" i="1"/>
  <c r="S47" i="1"/>
  <c r="R8" i="1"/>
  <c r="R30" i="1"/>
  <c r="R18" i="1"/>
  <c r="R35" i="1"/>
  <c r="R78" i="1"/>
  <c r="R3" i="1"/>
  <c r="R16" i="1"/>
  <c r="R59" i="1"/>
  <c r="R7" i="1"/>
  <c r="R9" i="1"/>
  <c r="R41" i="1"/>
  <c r="R31" i="1"/>
  <c r="R6" i="1"/>
  <c r="R5" i="1"/>
  <c r="R67" i="1"/>
  <c r="R11" i="1"/>
  <c r="R4" i="1"/>
  <c r="R14" i="1"/>
  <c r="R10" i="1"/>
  <c r="Q30" i="1"/>
  <c r="Q45" i="1"/>
  <c r="Q7" i="1"/>
  <c r="Q4" i="1"/>
  <c r="Q12" i="1"/>
  <c r="Q8" i="1"/>
  <c r="Q6" i="1"/>
  <c r="Q13" i="1"/>
  <c r="Q35" i="1"/>
  <c r="Q16" i="1"/>
  <c r="Q19" i="1"/>
  <c r="Q59" i="1"/>
  <c r="Q9" i="1"/>
  <c r="Q31" i="1"/>
  <c r="Q5" i="1"/>
  <c r="Q99" i="1"/>
  <c r="Q10" i="1"/>
  <c r="Q20" i="1"/>
  <c r="Q14" i="1"/>
  <c r="Q17" i="1"/>
  <c r="P7" i="1" l="1"/>
  <c r="P18" i="1"/>
  <c r="P15" i="1"/>
  <c r="P5" i="1"/>
  <c r="P37" i="1"/>
  <c r="P10" i="1"/>
  <c r="P8" i="1"/>
  <c r="P4" i="1"/>
  <c r="P35" i="1"/>
  <c r="P77" i="1"/>
  <c r="P3" i="1"/>
  <c r="P16" i="1"/>
  <c r="P9" i="1"/>
  <c r="P11" i="1"/>
  <c r="P100" i="1"/>
  <c r="P84" i="1"/>
  <c r="P52" i="1"/>
  <c r="P17" i="1"/>
  <c r="P12" i="1"/>
  <c r="P6" i="1"/>
  <c r="O15" i="1"/>
  <c r="O28" i="1"/>
  <c r="O12" i="1"/>
  <c r="O24" i="1"/>
  <c r="O33" i="1"/>
  <c r="O5" i="1"/>
  <c r="O4" i="1"/>
  <c r="O73" i="1"/>
  <c r="O7" i="1"/>
  <c r="O13" i="1"/>
  <c r="O17" i="1"/>
  <c r="O3" i="1"/>
  <c r="O8" i="1"/>
  <c r="O16" i="1"/>
  <c r="O10" i="1"/>
  <c r="O11" i="1"/>
  <c r="O41" i="1"/>
  <c r="O9" i="1"/>
  <c r="O6" i="1"/>
  <c r="O35" i="1"/>
  <c r="L56" i="1"/>
  <c r="L6" i="1"/>
  <c r="L13" i="1"/>
  <c r="L10" i="1"/>
  <c r="L16" i="1"/>
  <c r="L7" i="1"/>
  <c r="L20" i="1"/>
  <c r="L14" i="1"/>
  <c r="L23" i="1"/>
  <c r="L39" i="1"/>
  <c r="L12" i="1"/>
  <c r="L4" i="1"/>
  <c r="L8" i="1"/>
  <c r="L3" i="1"/>
  <c r="L25" i="1"/>
  <c r="L9" i="1"/>
  <c r="L114" i="1"/>
  <c r="L17" i="1"/>
  <c r="L18" i="1"/>
  <c r="J14" i="1"/>
  <c r="J27" i="1"/>
  <c r="J11" i="1"/>
  <c r="J13" i="1"/>
  <c r="J10" i="1"/>
  <c r="J8" i="1"/>
  <c r="J5" i="1"/>
  <c r="J39" i="1"/>
  <c r="J19" i="1"/>
  <c r="J6" i="1"/>
  <c r="J12" i="1"/>
  <c r="J7" i="1"/>
  <c r="J20" i="1"/>
  <c r="J25" i="1"/>
  <c r="J33" i="1"/>
  <c r="J42" i="1"/>
  <c r="J31" i="1"/>
  <c r="J3" i="1"/>
  <c r="J23" i="1"/>
  <c r="J45" i="1"/>
  <c r="F34" i="1"/>
  <c r="F63" i="1"/>
  <c r="F66" i="1"/>
  <c r="F22" i="1"/>
  <c r="F4" i="1"/>
  <c r="F17" i="1"/>
  <c r="F19" i="1"/>
  <c r="F6" i="1"/>
  <c r="F8" i="1"/>
  <c r="F18" i="1"/>
  <c r="F83" i="1"/>
  <c r="F9" i="1"/>
  <c r="F21" i="1"/>
  <c r="F88" i="1"/>
  <c r="F7" i="1"/>
  <c r="F23" i="1"/>
  <c r="F111" i="1"/>
  <c r="F12" i="1"/>
  <c r="F30" i="1"/>
  <c r="F121" i="1"/>
  <c r="E25" i="1"/>
  <c r="E7" i="1"/>
  <c r="E18" i="1"/>
  <c r="E107" i="1"/>
  <c r="E8" i="1"/>
  <c r="E86" i="1"/>
  <c r="E20" i="1"/>
  <c r="E29" i="1"/>
  <c r="E17" i="1"/>
  <c r="E65" i="1"/>
  <c r="E9" i="1"/>
  <c r="E40" i="1"/>
  <c r="E54" i="1"/>
  <c r="E55" i="1"/>
  <c r="E46" i="1"/>
  <c r="E23" i="1"/>
  <c r="E6" i="1"/>
  <c r="E48" i="1"/>
  <c r="E43" i="1"/>
  <c r="E3" i="1"/>
</calcChain>
</file>

<file path=xl/sharedStrings.xml><?xml version="1.0" encoding="utf-8"?>
<sst xmlns="http://schemas.openxmlformats.org/spreadsheetml/2006/main" count="303" uniqueCount="294">
  <si>
    <t>1. Platz (10%)</t>
  </si>
  <si>
    <t>hierznOFFICIAL</t>
  </si>
  <si>
    <t>2. Platz (9%)</t>
  </si>
  <si>
    <t>mikestock1</t>
  </si>
  <si>
    <t>3. Platz (8,5%)</t>
  </si>
  <si>
    <t>HW8799</t>
  </si>
  <si>
    <t>4. Platz (8%)</t>
  </si>
  <si>
    <t>Stabiloboss99</t>
  </si>
  <si>
    <t>5. Platz (7,5%)</t>
  </si>
  <si>
    <t>Uterdiansa</t>
  </si>
  <si>
    <t>6. Platz (7%)</t>
  </si>
  <si>
    <t>7. Platz (6,5%)</t>
  </si>
  <si>
    <t>matrixzz</t>
  </si>
  <si>
    <t>8. Platz (6%)</t>
  </si>
  <si>
    <t>AlDorado</t>
  </si>
  <si>
    <t>9. Platz (5,5%)</t>
  </si>
  <si>
    <t>10. Platz (5%)</t>
  </si>
  <si>
    <t>Troiyvillage</t>
  </si>
  <si>
    <t>hariwin44</t>
  </si>
  <si>
    <t>11. Platz (4%)</t>
  </si>
  <si>
    <t>KapitanTymu</t>
  </si>
  <si>
    <t>12. Platz (4%)</t>
  </si>
  <si>
    <t>Turncable77</t>
  </si>
  <si>
    <t>SebastianSchwab</t>
  </si>
  <si>
    <t>16. Platz (3%)</t>
  </si>
  <si>
    <t>neumann3000</t>
  </si>
  <si>
    <t>17. Platz (2%)</t>
  </si>
  <si>
    <t>De Paelzer</t>
  </si>
  <si>
    <t>18. Platz (2%)</t>
  </si>
  <si>
    <t>19. Platz (1%)</t>
  </si>
  <si>
    <t>20. Platz (1%)</t>
  </si>
  <si>
    <t>tomaldinjo199</t>
  </si>
  <si>
    <t>Luene PKR</t>
  </si>
  <si>
    <t>GoPI4ySolitaire</t>
  </si>
  <si>
    <t>21. Platz</t>
  </si>
  <si>
    <t>22. Platz</t>
  </si>
  <si>
    <t>23. Platz</t>
  </si>
  <si>
    <t>Sabbini</t>
  </si>
  <si>
    <t>King-Kingz</t>
  </si>
  <si>
    <t>HappyFunnyGuy</t>
  </si>
  <si>
    <t>24. Platz</t>
  </si>
  <si>
    <t>Schnute390</t>
  </si>
  <si>
    <t>25. Platz</t>
  </si>
  <si>
    <t>uviina001</t>
  </si>
  <si>
    <t>26. Platz</t>
  </si>
  <si>
    <t>CuxhAndre76</t>
  </si>
  <si>
    <t>27. Platz</t>
  </si>
  <si>
    <t>Pic-Ace</t>
  </si>
  <si>
    <t>28. Platz</t>
  </si>
  <si>
    <t>turf1911</t>
  </si>
  <si>
    <t>440 Punkte</t>
  </si>
  <si>
    <t>1. Spieltag (01.01.2023)</t>
  </si>
  <si>
    <t>280 Punkte</t>
  </si>
  <si>
    <t>Gesamt</t>
  </si>
  <si>
    <t>Punkte</t>
  </si>
  <si>
    <t>31.2</t>
  </si>
  <si>
    <t>13. Platz (3,5%)</t>
  </si>
  <si>
    <t xml:space="preserve">14. Platz (3,5%) </t>
  </si>
  <si>
    <t>Gosty-66699</t>
  </si>
  <si>
    <t>Platzierung</t>
  </si>
  <si>
    <t>Teilnehmer</t>
  </si>
  <si>
    <t>390 Punkte</t>
  </si>
  <si>
    <t>3. Spieltag (03.01.2023)</t>
  </si>
  <si>
    <t>2. Spieltag (02.01.2023)</t>
  </si>
  <si>
    <t>29. Platz</t>
  </si>
  <si>
    <t>Ama777</t>
  </si>
  <si>
    <t>30. Platz</t>
  </si>
  <si>
    <t>31. Platz</t>
  </si>
  <si>
    <t>32. Platz</t>
  </si>
  <si>
    <t>33. Platz</t>
  </si>
  <si>
    <t>34. Platz</t>
  </si>
  <si>
    <t>35. Platz</t>
  </si>
  <si>
    <t>36. Platz</t>
  </si>
  <si>
    <t>Sensei_B</t>
  </si>
  <si>
    <t>NaviDrH265</t>
  </si>
  <si>
    <t>Gary-33</t>
  </si>
  <si>
    <t>Rudi Rud Rud</t>
  </si>
  <si>
    <t>thomasnb</t>
  </si>
  <si>
    <t>Samuraichik</t>
  </si>
  <si>
    <t>37. Platz</t>
  </si>
  <si>
    <t>38. Platz</t>
  </si>
  <si>
    <t>39. Platz</t>
  </si>
  <si>
    <t>40. Platz</t>
  </si>
  <si>
    <t>41. Platz</t>
  </si>
  <si>
    <t>42. Platz</t>
  </si>
  <si>
    <t>43. Platz</t>
  </si>
  <si>
    <t>44. Platz</t>
  </si>
  <si>
    <t>Hackboulette</t>
  </si>
  <si>
    <t>Fearow</t>
  </si>
  <si>
    <t>Bull_dog</t>
  </si>
  <si>
    <t>320 Punkte</t>
  </si>
  <si>
    <t>4. Spieltag (04.01.2023)</t>
  </si>
  <si>
    <t>5. Spieltag (05.01.2023)</t>
  </si>
  <si>
    <t>45. Platz</t>
  </si>
  <si>
    <t>46. Platz</t>
  </si>
  <si>
    <t>47. Platz</t>
  </si>
  <si>
    <t>48. Platz</t>
  </si>
  <si>
    <t>49. Platz</t>
  </si>
  <si>
    <t>50. Platz</t>
  </si>
  <si>
    <t>51. Platz</t>
  </si>
  <si>
    <t>52. Platz</t>
  </si>
  <si>
    <t>53. Platz</t>
  </si>
  <si>
    <t>54. Platz</t>
  </si>
  <si>
    <t>55. Platz</t>
  </si>
  <si>
    <t>56. Platz</t>
  </si>
  <si>
    <t>57. Platz</t>
  </si>
  <si>
    <t>58. Platz</t>
  </si>
  <si>
    <t>59. Platz</t>
  </si>
  <si>
    <t>60. Platz</t>
  </si>
  <si>
    <t>61. Platz</t>
  </si>
  <si>
    <t>62. Platz</t>
  </si>
  <si>
    <t>belmansi</t>
  </si>
  <si>
    <t>JoMan05</t>
  </si>
  <si>
    <t>PEWlaergunPEW</t>
  </si>
  <si>
    <t>Sloko2842</t>
  </si>
  <si>
    <t>SOLUTIONS1</t>
  </si>
  <si>
    <t>Electron</t>
  </si>
  <si>
    <t>MrKigh</t>
  </si>
  <si>
    <t>Kasparov112</t>
  </si>
  <si>
    <t>350 Punkte</t>
  </si>
  <si>
    <t>Eigil16</t>
  </si>
  <si>
    <t>HerthsBSC1892</t>
  </si>
  <si>
    <t>Magicc33</t>
  </si>
  <si>
    <t>Frankonian</t>
  </si>
  <si>
    <t>schnipo.1985</t>
  </si>
  <si>
    <t>Hoosta88</t>
  </si>
  <si>
    <t>6.Spieltag (08.01.2023)</t>
  </si>
  <si>
    <t>330 Punkte</t>
  </si>
  <si>
    <t>The_new_era99</t>
  </si>
  <si>
    <t>7.Spieltag (09.01.2023)</t>
  </si>
  <si>
    <t>Paddy081592</t>
  </si>
  <si>
    <t>DDD1719</t>
  </si>
  <si>
    <t>Aby_Ruler</t>
  </si>
  <si>
    <t>Fackz</t>
  </si>
  <si>
    <t>Sakefass59</t>
  </si>
  <si>
    <t>Rakete222</t>
  </si>
  <si>
    <t>TMRocks</t>
  </si>
  <si>
    <t>8.Spieltag (10.01.2023)</t>
  </si>
  <si>
    <t>cakakaraka1</t>
  </si>
  <si>
    <t>DieWilde13</t>
  </si>
  <si>
    <t>TWB-TWB</t>
  </si>
  <si>
    <t>63. Platz</t>
  </si>
  <si>
    <t>64. Platz</t>
  </si>
  <si>
    <t>65. Platz</t>
  </si>
  <si>
    <t>66. Platz</t>
  </si>
  <si>
    <t>67. Platz</t>
  </si>
  <si>
    <t>68. Platz</t>
  </si>
  <si>
    <t>69. Platz</t>
  </si>
  <si>
    <t>70. Platz</t>
  </si>
  <si>
    <t>71. Platz</t>
  </si>
  <si>
    <t>72. Platz</t>
  </si>
  <si>
    <t>73. Platz</t>
  </si>
  <si>
    <t>74. Platz</t>
  </si>
  <si>
    <t>75. Platz</t>
  </si>
  <si>
    <t>76. Platz</t>
  </si>
  <si>
    <t>77. Platz</t>
  </si>
  <si>
    <t>78. Platz</t>
  </si>
  <si>
    <t>79. Platz</t>
  </si>
  <si>
    <t>80. Platz</t>
  </si>
  <si>
    <t>81. Platz</t>
  </si>
  <si>
    <t>82. Platz</t>
  </si>
  <si>
    <t>83. Platz</t>
  </si>
  <si>
    <t>84. Platz</t>
  </si>
  <si>
    <t>85. Platz</t>
  </si>
  <si>
    <t>86. Platz</t>
  </si>
  <si>
    <t>87. Platz</t>
  </si>
  <si>
    <t>88. Platz</t>
  </si>
  <si>
    <t>89. Platz</t>
  </si>
  <si>
    <t>90. Platz</t>
  </si>
  <si>
    <t>91. Platz</t>
  </si>
  <si>
    <t>92. Platz</t>
  </si>
  <si>
    <t>93. Platz</t>
  </si>
  <si>
    <t>94. Platz</t>
  </si>
  <si>
    <t>95. Platz</t>
  </si>
  <si>
    <t>bob8888</t>
  </si>
  <si>
    <t>MariahCarry</t>
  </si>
  <si>
    <t>300 Punkte</t>
  </si>
  <si>
    <t>hrenchk</t>
  </si>
  <si>
    <t>qui gon</t>
  </si>
  <si>
    <t>Burgerbarti</t>
  </si>
  <si>
    <t>Barbarossa</t>
  </si>
  <si>
    <t>9. Spieltag (11.01.2023)</t>
  </si>
  <si>
    <t>SharkPro73</t>
  </si>
  <si>
    <t>GPD_Eddy</t>
  </si>
  <si>
    <t>10. Spieltag (12.01.2023)</t>
  </si>
  <si>
    <t>Perisher31</t>
  </si>
  <si>
    <t>ranerraner</t>
  </si>
  <si>
    <t>260 Punkte</t>
  </si>
  <si>
    <t>11. Spieltag (15.01.2023)</t>
  </si>
  <si>
    <t>zylke</t>
  </si>
  <si>
    <t>Raise2k22</t>
  </si>
  <si>
    <t>Merlin-030366</t>
  </si>
  <si>
    <t>0 Punkte</t>
  </si>
  <si>
    <t>12. Spieltag (16.01.2023)</t>
  </si>
  <si>
    <t>13. Spieltag (17.01.2023)</t>
  </si>
  <si>
    <t>Paddy800</t>
  </si>
  <si>
    <t>rupei27</t>
  </si>
  <si>
    <t>Stueverharm</t>
  </si>
  <si>
    <t>14.Spieltag (18.01.2023)</t>
  </si>
  <si>
    <t>bluffking777</t>
  </si>
  <si>
    <t>Matze--09</t>
  </si>
  <si>
    <t>SchainSau</t>
  </si>
  <si>
    <t>310 Punkte</t>
  </si>
  <si>
    <t>15. Spieltag (19.01.2023)</t>
  </si>
  <si>
    <t>J_JJ1</t>
  </si>
  <si>
    <t>Klientin</t>
  </si>
  <si>
    <t>270 Punkte</t>
  </si>
  <si>
    <t>16. Spieltag (22.01.2023)</t>
  </si>
  <si>
    <t>Kronaldinho</t>
  </si>
  <si>
    <t>GTFJO</t>
  </si>
  <si>
    <t>170 Punkte</t>
  </si>
  <si>
    <t>n3wzZz_</t>
  </si>
  <si>
    <t>Irnwho</t>
  </si>
  <si>
    <t>JeezSus</t>
  </si>
  <si>
    <t>ZedzDed</t>
  </si>
  <si>
    <t>Webb246</t>
  </si>
  <si>
    <t>SebastianR_1987</t>
  </si>
  <si>
    <t>Ciwan1409</t>
  </si>
  <si>
    <t>17. Spieltag (23.01.2023)</t>
  </si>
  <si>
    <t>40 Punkte</t>
  </si>
  <si>
    <t>unknown00</t>
  </si>
  <si>
    <t>240 Punkte</t>
  </si>
  <si>
    <t>Betzeteufel</t>
  </si>
  <si>
    <t>18. Spieltag (24.01.2023)</t>
  </si>
  <si>
    <t>19.Spieltag (25.01.2023)</t>
  </si>
  <si>
    <t>20.Spieltag (26.01.2023)</t>
  </si>
  <si>
    <t>aidowalnusss</t>
  </si>
  <si>
    <t>DoooooDooooo203</t>
  </si>
  <si>
    <t>96. Platz</t>
  </si>
  <si>
    <t>97. Platz</t>
  </si>
  <si>
    <t>98. Platz</t>
  </si>
  <si>
    <t>99. Platz</t>
  </si>
  <si>
    <t>100. Platz</t>
  </si>
  <si>
    <t>101. Platz</t>
  </si>
  <si>
    <t>102. Platz</t>
  </si>
  <si>
    <t>103. Platz</t>
  </si>
  <si>
    <t>104. Platz</t>
  </si>
  <si>
    <t>105. Platz</t>
  </si>
  <si>
    <t>106. Platz</t>
  </si>
  <si>
    <t>107. Platz</t>
  </si>
  <si>
    <t>108. Platz</t>
  </si>
  <si>
    <t>109. Platz</t>
  </si>
  <si>
    <t>110. Platz</t>
  </si>
  <si>
    <t>111. Platz</t>
  </si>
  <si>
    <t>112. Platz</t>
  </si>
  <si>
    <t>113. Platz</t>
  </si>
  <si>
    <t>114. Platz</t>
  </si>
  <si>
    <t>IamFunny</t>
  </si>
  <si>
    <t>Toto-17</t>
  </si>
  <si>
    <t>SuD_hools</t>
  </si>
  <si>
    <t>Cyanide Bee</t>
  </si>
  <si>
    <t>Nik.I.as</t>
  </si>
  <si>
    <t>Comrock</t>
  </si>
  <si>
    <t>Lord Holdemort</t>
  </si>
  <si>
    <t>AnnAStinA666</t>
  </si>
  <si>
    <t>Andi_ENFP</t>
  </si>
  <si>
    <t>Boogie83</t>
  </si>
  <si>
    <t xml:space="preserve">North Shore LAX </t>
  </si>
  <si>
    <t>Kraetschmer-79</t>
  </si>
  <si>
    <t>21.Spieltag (29.01.2023)</t>
  </si>
  <si>
    <t>Druny33</t>
  </si>
  <si>
    <t>HotHotStuff</t>
  </si>
  <si>
    <t>rivko0912</t>
  </si>
  <si>
    <t>DerBuddha</t>
  </si>
  <si>
    <t>wanfernandes</t>
  </si>
  <si>
    <t>omega whale</t>
  </si>
  <si>
    <t>habibobln</t>
  </si>
  <si>
    <t>115. Platz</t>
  </si>
  <si>
    <t>116. Platz</t>
  </si>
  <si>
    <t>117. Platz</t>
  </si>
  <si>
    <t>118. Platz</t>
  </si>
  <si>
    <t>mitchventura</t>
  </si>
  <si>
    <t>I_lias</t>
  </si>
  <si>
    <t xml:space="preserve">15. Platz (3%) </t>
  </si>
  <si>
    <t>22.Spieltag (30.01.2023)</t>
  </si>
  <si>
    <t>23.Spieltag (31.01.2023)</t>
  </si>
  <si>
    <t>Stasch241</t>
  </si>
  <si>
    <t>Hirtl29</t>
  </si>
  <si>
    <t>proofread</t>
  </si>
  <si>
    <t>119. Platz</t>
  </si>
  <si>
    <t>120. Platz</t>
  </si>
  <si>
    <t>PapaKay</t>
  </si>
  <si>
    <t>121. Platz</t>
  </si>
  <si>
    <t>122. Platz</t>
  </si>
  <si>
    <t>123. Platz</t>
  </si>
  <si>
    <t>124. Platz</t>
  </si>
  <si>
    <t>BM32423</t>
  </si>
  <si>
    <t>Fordstar80</t>
  </si>
  <si>
    <t>J.R.91</t>
  </si>
  <si>
    <t>Jonas_28</t>
  </si>
  <si>
    <t>125. Platz</t>
  </si>
  <si>
    <t>126. Platz</t>
  </si>
  <si>
    <t>Finnwulfert</t>
  </si>
  <si>
    <t>DerRolf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</si>
</sst>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5">
    <xf numFmtId="0" fontId="0" fillId="0" borderId="0" xfId="0"/>
    <xf numFmtId="16" fontId="0" fillId="0" borderId="0" xfId="0" applyNumberFormat="1"/>
    <xf numFmtId="2" fontId="0" fillId="2" borderId="1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0" fillId="4" borderId="1" xfId="0" applyFill="1" applyBorder="1"/>
    <xf numFmtId="2" fontId="0" fillId="4" borderId="1" xfId="0" applyNumberFormat="1" applyFill="1" applyBorder="1" applyAlignment="1">
      <alignment horizontal="center"/>
    </xf>
    <xf numFmtId="0" fontId="0" fillId="0" borderId="3" xfId="0" applyBorder="1"/>
    <xf numFmtId="2" fontId="0" fillId="4" borderId="4" xfId="0" applyNumberForma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3" borderId="8" xfId="0" applyFont="1" applyFill="1" applyBorder="1"/>
    <xf numFmtId="0" fontId="0" fillId="2" borderId="8" xfId="0" applyFill="1" applyBorder="1"/>
    <xf numFmtId="0" fontId="0" fillId="2" borderId="9" xfId="0" applyFill="1" applyBorder="1"/>
    <xf numFmtId="2" fontId="0" fillId="2" borderId="10" xfId="0" applyNumberFormat="1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0" fontId="0" fillId="2" borderId="12" xfId="0" applyFill="1" applyBorder="1"/>
    <xf numFmtId="0" fontId="0" fillId="2" borderId="13" xfId="0" applyFill="1" applyBorder="1"/>
    <xf numFmtId="0" fontId="1" fillId="3" borderId="14" xfId="0" applyFont="1" applyFill="1" applyBorder="1"/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0" fillId="2" borderId="16" xfId="0" applyFill="1" applyBorder="1"/>
    <xf numFmtId="2" fontId="0" fillId="2" borderId="17" xfId="0" applyNumberFormat="1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2" fontId="3" fillId="2" borderId="19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2" fontId="3" fillId="2" borderId="17" xfId="0" applyNumberFormat="1" applyFont="1" applyFill="1" applyBorder="1" applyAlignment="1">
      <alignment horizontal="center"/>
    </xf>
    <xf numFmtId="0" fontId="4" fillId="0" borderId="1" xfId="1" applyFont="1" applyBorder="1"/>
    <xf numFmtId="2" fontId="0" fillId="4" borderId="20" xfId="0" applyNumberFormat="1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0" fontId="0" fillId="4" borderId="3" xfId="0" applyFill="1" applyBorder="1"/>
    <xf numFmtId="2" fontId="0" fillId="4" borderId="21" xfId="0" applyNumberFormat="1" applyFill="1" applyBorder="1" applyAlignment="1">
      <alignment horizontal="center"/>
    </xf>
    <xf numFmtId="0" fontId="0" fillId="0" borderId="10" xfId="0" applyBorder="1"/>
    <xf numFmtId="2" fontId="1" fillId="3" borderId="2" xfId="0" applyNumberFormat="1" applyFont="1" applyFill="1" applyBorder="1" applyAlignment="1">
      <alignment horizontal="center"/>
    </xf>
    <xf numFmtId="2" fontId="0" fillId="4" borderId="19" xfId="0" applyNumberFormat="1" applyFill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2" fontId="0" fillId="2" borderId="23" xfId="0" applyNumberFormat="1" applyFill="1" applyBorder="1"/>
    <xf numFmtId="2" fontId="0" fillId="2" borderId="24" xfId="0" applyNumberFormat="1" applyFill="1" applyBorder="1"/>
    <xf numFmtId="2" fontId="0" fillId="2" borderId="25" xfId="0" applyNumberFormat="1" applyFill="1" applyBorder="1"/>
    <xf numFmtId="2" fontId="0" fillId="4" borderId="21" xfId="0" applyNumberFormat="1" applyFill="1" applyBorder="1"/>
    <xf numFmtId="2" fontId="0" fillId="2" borderId="3" xfId="0" applyNumberFormat="1" applyFill="1" applyBorder="1" applyAlignment="1">
      <alignment horizontal="center"/>
    </xf>
    <xf numFmtId="0" fontId="0" fillId="2" borderId="26" xfId="0" applyFill="1" applyBorder="1"/>
    <xf numFmtId="0" fontId="0" fillId="0" borderId="1" xfId="0" applyFill="1" applyBorder="1"/>
    <xf numFmtId="0" fontId="0" fillId="0" borderId="0" xfId="0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8955F-E895-C340-AEB4-AA0CACCF6B78}">
  <dimension ref="A1:Z165"/>
  <sheetViews>
    <sheetView tabSelected="1" zoomScaleNormal="50" workbookViewId="0">
      <selection activeCell="Y1" sqref="Y1:Y1048576"/>
    </sheetView>
  </sheetViews>
  <sheetFormatPr baseColWidth="10" defaultRowHeight="16" x14ac:dyDescent="0.2"/>
  <cols>
    <col min="1" max="1" width="16.1640625" customWidth="1"/>
    <col min="2" max="2" width="21" customWidth="1"/>
    <col min="3" max="4" width="21.6640625" customWidth="1"/>
    <col min="5" max="13" width="21.83203125" customWidth="1"/>
    <col min="14" max="17" width="23.1640625" customWidth="1"/>
    <col min="18" max="18" width="23.6640625" customWidth="1"/>
    <col min="19" max="19" width="23.6640625" style="34" customWidth="1"/>
    <col min="20" max="23" width="23.33203125" customWidth="1"/>
    <col min="24" max="25" width="23.5" style="5" customWidth="1"/>
    <col min="26" max="26" width="12.6640625" customWidth="1"/>
  </cols>
  <sheetData>
    <row r="1" spans="1:26" x14ac:dyDescent="0.2">
      <c r="A1" s="11"/>
      <c r="B1" s="12"/>
      <c r="C1" s="13" t="s">
        <v>50</v>
      </c>
      <c r="D1" s="13" t="s">
        <v>52</v>
      </c>
      <c r="E1" s="13" t="s">
        <v>61</v>
      </c>
      <c r="F1" s="13" t="s">
        <v>90</v>
      </c>
      <c r="G1" s="13" t="s">
        <v>119</v>
      </c>
      <c r="H1" s="13" t="s">
        <v>127</v>
      </c>
      <c r="I1" s="13" t="s">
        <v>127</v>
      </c>
      <c r="J1" s="13" t="s">
        <v>176</v>
      </c>
      <c r="K1" s="13" t="s">
        <v>119</v>
      </c>
      <c r="L1" s="13" t="s">
        <v>52</v>
      </c>
      <c r="M1" s="13" t="s">
        <v>187</v>
      </c>
      <c r="N1" s="13" t="s">
        <v>192</v>
      </c>
      <c r="O1" s="13" t="s">
        <v>187</v>
      </c>
      <c r="P1" s="13" t="s">
        <v>176</v>
      </c>
      <c r="Q1" s="13" t="s">
        <v>202</v>
      </c>
      <c r="R1" s="13" t="s">
        <v>206</v>
      </c>
      <c r="S1" s="34" t="s">
        <v>210</v>
      </c>
      <c r="T1" s="34" t="s">
        <v>219</v>
      </c>
      <c r="U1" s="34" t="s">
        <v>221</v>
      </c>
      <c r="V1" s="34" t="s">
        <v>206</v>
      </c>
      <c r="W1" s="34" t="s">
        <v>206</v>
      </c>
      <c r="X1" s="5" t="s">
        <v>52</v>
      </c>
      <c r="Y1" s="5" t="s">
        <v>206</v>
      </c>
      <c r="Z1" s="14" t="s">
        <v>53</v>
      </c>
    </row>
    <row r="2" spans="1:26" ht="17" thickBot="1" x14ac:dyDescent="0.25">
      <c r="A2" s="15" t="s">
        <v>59</v>
      </c>
      <c r="B2" s="22" t="s">
        <v>60</v>
      </c>
      <c r="C2" s="23" t="s">
        <v>51</v>
      </c>
      <c r="D2" s="23" t="s">
        <v>63</v>
      </c>
      <c r="E2" s="23" t="s">
        <v>62</v>
      </c>
      <c r="F2" s="23" t="s">
        <v>91</v>
      </c>
      <c r="G2" s="23" t="s">
        <v>92</v>
      </c>
      <c r="H2" s="24" t="s">
        <v>126</v>
      </c>
      <c r="I2" s="24" t="s">
        <v>129</v>
      </c>
      <c r="J2" s="24" t="s">
        <v>137</v>
      </c>
      <c r="K2" s="24" t="s">
        <v>181</v>
      </c>
      <c r="L2" s="24" t="s">
        <v>184</v>
      </c>
      <c r="M2" s="24" t="s">
        <v>188</v>
      </c>
      <c r="N2" s="24" t="s">
        <v>193</v>
      </c>
      <c r="O2" s="24" t="s">
        <v>194</v>
      </c>
      <c r="P2" s="24" t="s">
        <v>198</v>
      </c>
      <c r="Q2" s="24" t="s">
        <v>203</v>
      </c>
      <c r="R2" s="23" t="s">
        <v>207</v>
      </c>
      <c r="S2" s="23" t="s">
        <v>218</v>
      </c>
      <c r="T2" s="23" t="s">
        <v>223</v>
      </c>
      <c r="U2" s="24" t="s">
        <v>224</v>
      </c>
      <c r="V2" s="24" t="s">
        <v>225</v>
      </c>
      <c r="W2" s="24" t="s">
        <v>259</v>
      </c>
      <c r="X2" s="43" t="s">
        <v>274</v>
      </c>
      <c r="Y2" s="43" t="s">
        <v>275</v>
      </c>
      <c r="Z2" s="46" t="s">
        <v>54</v>
      </c>
    </row>
    <row r="3" spans="1:26" x14ac:dyDescent="0.2">
      <c r="A3" s="20" t="s">
        <v>0</v>
      </c>
      <c r="B3" s="25" t="s">
        <v>3</v>
      </c>
      <c r="C3" s="26">
        <v>24.2</v>
      </c>
      <c r="D3" s="26">
        <v>25.2</v>
      </c>
      <c r="E3" s="26">
        <f>390*0.1</f>
        <v>39</v>
      </c>
      <c r="F3" s="26">
        <v>0</v>
      </c>
      <c r="G3" s="26">
        <v>0</v>
      </c>
      <c r="H3" s="27">
        <v>24.75</v>
      </c>
      <c r="I3" s="27">
        <v>0</v>
      </c>
      <c r="J3" s="35">
        <f>300*0.02</f>
        <v>6</v>
      </c>
      <c r="K3" s="27">
        <v>35</v>
      </c>
      <c r="L3" s="35">
        <f>280*0.03</f>
        <v>8.4</v>
      </c>
      <c r="M3" s="27">
        <v>22.1</v>
      </c>
      <c r="N3" s="27">
        <v>0</v>
      </c>
      <c r="O3" s="35">
        <f>260*0.04</f>
        <v>10.4</v>
      </c>
      <c r="P3" s="27">
        <f>300*0.04</f>
        <v>12</v>
      </c>
      <c r="Q3" s="27">
        <v>0</v>
      </c>
      <c r="R3" s="36">
        <f>270*0.03</f>
        <v>8.1</v>
      </c>
      <c r="S3" s="26">
        <f>170*0.08</f>
        <v>13.6</v>
      </c>
      <c r="T3" s="26">
        <v>0</v>
      </c>
      <c r="U3" s="27">
        <v>21.6</v>
      </c>
      <c r="V3" s="27">
        <v>24.3</v>
      </c>
      <c r="W3" s="35">
        <f>270*0.04</f>
        <v>10.8</v>
      </c>
      <c r="X3" s="51">
        <f>280*0.1</f>
        <v>28</v>
      </c>
      <c r="Y3" s="51">
        <f>270*0.07</f>
        <v>18.900000000000002</v>
      </c>
      <c r="Z3" s="47">
        <f>SUM(C3:Y3)-J3-R3-L3-O3-W3</f>
        <v>288.64999999999998</v>
      </c>
    </row>
    <row r="4" spans="1:26" x14ac:dyDescent="0.2">
      <c r="A4" s="20" t="s">
        <v>2</v>
      </c>
      <c r="B4" s="16" t="s">
        <v>18</v>
      </c>
      <c r="C4" s="2">
        <v>28.6</v>
      </c>
      <c r="D4" s="2">
        <v>0</v>
      </c>
      <c r="E4" s="2">
        <v>0</v>
      </c>
      <c r="F4" s="2">
        <f>320*0.09</f>
        <v>28.799999999999997</v>
      </c>
      <c r="G4" s="2">
        <v>35</v>
      </c>
      <c r="H4" s="18">
        <v>18.149999999999999</v>
      </c>
      <c r="I4" s="18">
        <v>23.1</v>
      </c>
      <c r="J4" s="18">
        <v>0</v>
      </c>
      <c r="K4" s="31">
        <v>14</v>
      </c>
      <c r="L4" s="31">
        <f>280*0.035</f>
        <v>9.8000000000000007</v>
      </c>
      <c r="M4" s="31">
        <v>13</v>
      </c>
      <c r="N4" s="28">
        <v>0</v>
      </c>
      <c r="O4" s="28">
        <f>260*0.065</f>
        <v>16.900000000000002</v>
      </c>
      <c r="P4" s="28">
        <f>300*0.06</f>
        <v>18</v>
      </c>
      <c r="Q4" s="28">
        <f>310*0.085</f>
        <v>26.35</v>
      </c>
      <c r="R4" s="2">
        <f>270*0.08</f>
        <v>21.6</v>
      </c>
      <c r="S4" s="33">
        <f>170*0.05</f>
        <v>8.5</v>
      </c>
      <c r="T4" s="2">
        <v>0</v>
      </c>
      <c r="U4" s="18">
        <v>14.4</v>
      </c>
      <c r="V4" s="18">
        <v>21.6</v>
      </c>
      <c r="W4" s="31">
        <f>270*0.02</f>
        <v>5.4</v>
      </c>
      <c r="X4" s="2">
        <f>280*0.06</f>
        <v>16.8</v>
      </c>
      <c r="Y4" s="33">
        <f>270*0.04</f>
        <v>10.8</v>
      </c>
      <c r="Z4" s="48">
        <f>SUM(C4:Y4)-L4-S4-M4-W4-K4-Y4</f>
        <v>269.3</v>
      </c>
    </row>
    <row r="5" spans="1:26" x14ac:dyDescent="0.2">
      <c r="A5" s="20" t="s">
        <v>4</v>
      </c>
      <c r="B5" s="16" t="s">
        <v>139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18">
        <v>0</v>
      </c>
      <c r="I5" s="18">
        <v>19.8</v>
      </c>
      <c r="J5" s="18">
        <f>300*0.065</f>
        <v>19.5</v>
      </c>
      <c r="K5" s="18">
        <v>26.25</v>
      </c>
      <c r="L5" s="18">
        <v>0</v>
      </c>
      <c r="M5" s="18">
        <v>26</v>
      </c>
      <c r="N5" s="28">
        <v>0</v>
      </c>
      <c r="O5" s="28">
        <f>260*0.07</f>
        <v>18.200000000000003</v>
      </c>
      <c r="P5" s="28">
        <f>300*0.08</f>
        <v>24</v>
      </c>
      <c r="Q5" s="32">
        <f>310*0.03</f>
        <v>9.2999999999999989</v>
      </c>
      <c r="R5" s="2">
        <f>270*0.065</f>
        <v>17.55</v>
      </c>
      <c r="S5" s="2">
        <f>170*0.07</f>
        <v>11.9</v>
      </c>
      <c r="T5" s="2">
        <v>0</v>
      </c>
      <c r="U5" s="18">
        <v>20.399999999999999</v>
      </c>
      <c r="V5" s="31">
        <v>10.8</v>
      </c>
      <c r="W5" s="18">
        <f>270*0.065</f>
        <v>17.55</v>
      </c>
      <c r="X5" s="2">
        <f>280*0.09</f>
        <v>25.2</v>
      </c>
      <c r="Y5" s="2">
        <f>270*0.1</f>
        <v>27</v>
      </c>
      <c r="Z5" s="48">
        <f>SUM(C5:Y5)-Q5-V5</f>
        <v>253.35000000000002</v>
      </c>
    </row>
    <row r="6" spans="1:26" x14ac:dyDescent="0.2">
      <c r="A6" s="20" t="s">
        <v>6</v>
      </c>
      <c r="B6" s="16" t="s">
        <v>14</v>
      </c>
      <c r="C6" s="2">
        <v>17.600000000000001</v>
      </c>
      <c r="D6" s="2">
        <v>14</v>
      </c>
      <c r="E6" s="2">
        <f>390*0.08</f>
        <v>31.2</v>
      </c>
      <c r="F6" s="2">
        <f>320*0.07</f>
        <v>22.400000000000002</v>
      </c>
      <c r="G6" s="33">
        <v>12.25</v>
      </c>
      <c r="H6" s="18">
        <v>23.1</v>
      </c>
      <c r="I6" s="18">
        <v>0</v>
      </c>
      <c r="J6" s="18">
        <f>300*0.05</f>
        <v>15</v>
      </c>
      <c r="K6" s="31">
        <v>10.5</v>
      </c>
      <c r="L6" s="18">
        <f>280*0.1</f>
        <v>28</v>
      </c>
      <c r="M6" s="31">
        <v>5.2</v>
      </c>
      <c r="N6" s="28">
        <v>0</v>
      </c>
      <c r="O6" s="32">
        <f>260*0.01</f>
        <v>2.6</v>
      </c>
      <c r="P6" s="32">
        <f>300*0.01</f>
        <v>3</v>
      </c>
      <c r="Q6" s="28">
        <f>310*0.065</f>
        <v>20.150000000000002</v>
      </c>
      <c r="R6" s="2">
        <f>270*0.06</f>
        <v>16.2</v>
      </c>
      <c r="S6" s="2">
        <v>0</v>
      </c>
      <c r="T6" s="2">
        <v>0</v>
      </c>
      <c r="U6" s="18">
        <v>18</v>
      </c>
      <c r="V6" s="31">
        <v>5.4</v>
      </c>
      <c r="W6" s="31">
        <f>270*0.035</f>
        <v>9.4500000000000011</v>
      </c>
      <c r="X6" s="2">
        <f>280*0.07</f>
        <v>19.600000000000001</v>
      </c>
      <c r="Y6" s="2">
        <f>270*0.085</f>
        <v>22.950000000000003</v>
      </c>
      <c r="Z6" s="48">
        <f>SUM(C6:Y6)-M6-O6-P6-V6-W6-K6-G6</f>
        <v>248.2</v>
      </c>
    </row>
    <row r="7" spans="1:26" x14ac:dyDescent="0.2">
      <c r="A7" s="52" t="s">
        <v>8</v>
      </c>
      <c r="B7" s="16" t="s">
        <v>89</v>
      </c>
      <c r="C7" s="2">
        <v>35.200000000000003</v>
      </c>
      <c r="D7" s="2">
        <v>0</v>
      </c>
      <c r="E7" s="33">
        <f>390*0.01</f>
        <v>3.9</v>
      </c>
      <c r="F7" s="33">
        <f>320*0.03</f>
        <v>9.6</v>
      </c>
      <c r="G7" s="2">
        <v>12.25</v>
      </c>
      <c r="H7" s="18">
        <v>0</v>
      </c>
      <c r="I7" s="18">
        <v>28.05</v>
      </c>
      <c r="J7" s="18">
        <f>300*0.04</f>
        <v>12</v>
      </c>
      <c r="K7" s="18">
        <v>0</v>
      </c>
      <c r="L7" s="18">
        <f>280*0.065</f>
        <v>18.2</v>
      </c>
      <c r="M7" s="18">
        <v>15.6</v>
      </c>
      <c r="N7" s="28">
        <v>0</v>
      </c>
      <c r="O7" s="28">
        <f>260*0.055</f>
        <v>14.3</v>
      </c>
      <c r="P7" s="28">
        <f>300*0.1</f>
        <v>30</v>
      </c>
      <c r="Q7" s="28">
        <f>310*0.09</f>
        <v>27.9</v>
      </c>
      <c r="R7" s="2">
        <f>270*0.04</f>
        <v>10.8</v>
      </c>
      <c r="S7" s="2">
        <v>0</v>
      </c>
      <c r="T7" s="2">
        <v>0</v>
      </c>
      <c r="U7" s="31">
        <v>2.4</v>
      </c>
      <c r="V7" s="18">
        <v>27</v>
      </c>
      <c r="W7" s="31">
        <f>270*0.03</f>
        <v>8.1</v>
      </c>
      <c r="X7" s="2">
        <f>280*0.055</f>
        <v>15.4</v>
      </c>
      <c r="Y7" s="33">
        <f>270*0.03</f>
        <v>8.1</v>
      </c>
      <c r="Z7" s="48">
        <f>SUM(C7:Y7)-U7-E7-W7-F7-Y7</f>
        <v>246.7000000000001</v>
      </c>
    </row>
    <row r="8" spans="1:26" x14ac:dyDescent="0.2">
      <c r="A8" s="20" t="s">
        <v>10</v>
      </c>
      <c r="B8" s="16" t="s">
        <v>43</v>
      </c>
      <c r="C8" s="2">
        <v>39.6</v>
      </c>
      <c r="D8" s="33">
        <v>8.4</v>
      </c>
      <c r="E8" s="2">
        <f>390*0.03</f>
        <v>11.7</v>
      </c>
      <c r="F8" s="2">
        <f>320*0.055</f>
        <v>17.600000000000001</v>
      </c>
      <c r="G8" s="2">
        <v>0</v>
      </c>
      <c r="H8" s="18">
        <v>28.5</v>
      </c>
      <c r="I8" s="18">
        <v>13.2</v>
      </c>
      <c r="J8" s="18">
        <f>300*0.07</f>
        <v>21.000000000000004</v>
      </c>
      <c r="K8" s="31">
        <v>7</v>
      </c>
      <c r="L8" s="18">
        <f>280*0.035</f>
        <v>9.8000000000000007</v>
      </c>
      <c r="M8" s="31">
        <v>9.1</v>
      </c>
      <c r="N8" s="28">
        <v>0</v>
      </c>
      <c r="O8" s="32">
        <f>260*0.035</f>
        <v>9.1000000000000014</v>
      </c>
      <c r="P8" s="28">
        <f>300*0.065</f>
        <v>19.5</v>
      </c>
      <c r="Q8" s="28">
        <f>310*0.075</f>
        <v>23.25</v>
      </c>
      <c r="R8" s="33">
        <f>270*0.01</f>
        <v>2.7</v>
      </c>
      <c r="S8" s="2">
        <v>0</v>
      </c>
      <c r="T8" s="33">
        <f>40*0.09</f>
        <v>3.5999999999999996</v>
      </c>
      <c r="U8" s="31">
        <v>9.6</v>
      </c>
      <c r="V8" s="18">
        <v>0</v>
      </c>
      <c r="W8" s="18">
        <f>270*0.06</f>
        <v>16.2</v>
      </c>
      <c r="X8" s="2">
        <f>280*0.05</f>
        <v>14</v>
      </c>
      <c r="Y8" s="2">
        <f>270*0.075</f>
        <v>20.25</v>
      </c>
      <c r="Z8" s="48">
        <f>SUM(C8:Y8)-K8-R8-T8-D8-O8-M8-U8</f>
        <v>234.60000000000005</v>
      </c>
    </row>
    <row r="9" spans="1:26" x14ac:dyDescent="0.2">
      <c r="A9" s="20" t="s">
        <v>11</v>
      </c>
      <c r="B9" s="16" t="s">
        <v>1</v>
      </c>
      <c r="C9" s="2">
        <v>22</v>
      </c>
      <c r="D9" s="2">
        <v>28</v>
      </c>
      <c r="E9" s="2">
        <f>390*0.04</f>
        <v>15.6</v>
      </c>
      <c r="F9" s="2">
        <f>320*0.04</f>
        <v>12.8</v>
      </c>
      <c r="G9" s="2">
        <v>24.5</v>
      </c>
      <c r="H9" s="18">
        <v>26.4</v>
      </c>
      <c r="I9" s="18">
        <v>33</v>
      </c>
      <c r="J9" s="18">
        <v>0</v>
      </c>
      <c r="K9" s="18">
        <v>12.25</v>
      </c>
      <c r="L9" s="31">
        <f>280*0.02</f>
        <v>5.6000000000000005</v>
      </c>
      <c r="M9" s="18">
        <v>0</v>
      </c>
      <c r="N9" s="28">
        <v>0</v>
      </c>
      <c r="O9" s="32">
        <f>260*0.02</f>
        <v>5.2</v>
      </c>
      <c r="P9" s="32">
        <f>300*0.035</f>
        <v>10.500000000000002</v>
      </c>
      <c r="Q9" s="28">
        <f>310*0.035</f>
        <v>10.850000000000001</v>
      </c>
      <c r="R9" s="2">
        <f>270*0.04</f>
        <v>10.8</v>
      </c>
      <c r="S9" s="2">
        <f>170*0.065</f>
        <v>11.05</v>
      </c>
      <c r="T9" s="2">
        <v>0</v>
      </c>
      <c r="U9" s="31">
        <v>8.4</v>
      </c>
      <c r="V9" s="31">
        <v>9.4499999999999993</v>
      </c>
      <c r="W9" s="18">
        <f>270*0.08</f>
        <v>21.6</v>
      </c>
      <c r="X9" s="2">
        <v>0</v>
      </c>
      <c r="Y9" s="2">
        <v>0</v>
      </c>
      <c r="Z9" s="48">
        <f>SUM(C9:Y9)-L9-O9-U9-V9-P9</f>
        <v>228.85</v>
      </c>
    </row>
    <row r="10" spans="1:26" x14ac:dyDescent="0.2">
      <c r="A10" s="52" t="s">
        <v>13</v>
      </c>
      <c r="B10" s="16" t="s">
        <v>122</v>
      </c>
      <c r="C10" s="2">
        <v>0</v>
      </c>
      <c r="D10" s="2">
        <v>0</v>
      </c>
      <c r="E10" s="2">
        <v>0</v>
      </c>
      <c r="F10" s="2">
        <v>0</v>
      </c>
      <c r="G10" s="2">
        <v>14</v>
      </c>
      <c r="H10" s="18">
        <v>0</v>
      </c>
      <c r="I10" s="18">
        <v>24.75</v>
      </c>
      <c r="J10" s="18">
        <f>300*0.075</f>
        <v>22.5</v>
      </c>
      <c r="K10" s="18">
        <v>31.5</v>
      </c>
      <c r="L10" s="18">
        <f>280*0.08</f>
        <v>22.400000000000002</v>
      </c>
      <c r="M10" s="31">
        <v>5.2</v>
      </c>
      <c r="N10" s="28">
        <v>0</v>
      </c>
      <c r="O10" s="28">
        <f>260*0.03</f>
        <v>7.8</v>
      </c>
      <c r="P10" s="28">
        <f>300*0.07</f>
        <v>21.000000000000004</v>
      </c>
      <c r="Q10" s="28">
        <f>310*0.02</f>
        <v>6.2</v>
      </c>
      <c r="R10" s="2">
        <f>270*0.085</f>
        <v>22.950000000000003</v>
      </c>
      <c r="S10" s="2">
        <f>170*0.055</f>
        <v>9.35</v>
      </c>
      <c r="T10" s="2">
        <v>0</v>
      </c>
      <c r="U10" s="18">
        <v>13.2</v>
      </c>
      <c r="V10" s="18">
        <v>17.55</v>
      </c>
      <c r="W10" s="31">
        <f>270*0.01</f>
        <v>2.7</v>
      </c>
      <c r="X10" s="2">
        <v>0</v>
      </c>
      <c r="Y10" s="2">
        <v>0</v>
      </c>
      <c r="Z10" s="48">
        <f>SUM(C10:Y10)-M10-W10</f>
        <v>213.20000000000002</v>
      </c>
    </row>
    <row r="11" spans="1:26" x14ac:dyDescent="0.2">
      <c r="A11" s="20" t="s">
        <v>15</v>
      </c>
      <c r="B11" s="16" t="s">
        <v>17</v>
      </c>
      <c r="C11" s="33">
        <v>8.8000000000000007</v>
      </c>
      <c r="D11" s="2">
        <v>22.4</v>
      </c>
      <c r="E11" s="2">
        <v>0</v>
      </c>
      <c r="F11" s="2">
        <v>0</v>
      </c>
      <c r="G11" s="2">
        <v>10.5</v>
      </c>
      <c r="H11" s="18">
        <v>11.55</v>
      </c>
      <c r="I11" s="18">
        <v>9.9</v>
      </c>
      <c r="J11" s="18">
        <f>300*0.09</f>
        <v>27</v>
      </c>
      <c r="K11" s="18">
        <v>14</v>
      </c>
      <c r="L11" s="18">
        <f>280*0.07</f>
        <v>19.600000000000001</v>
      </c>
      <c r="M11" s="18">
        <v>10.4</v>
      </c>
      <c r="N11" s="28">
        <v>0</v>
      </c>
      <c r="O11" s="32">
        <f>260*0.03</f>
        <v>7.8</v>
      </c>
      <c r="P11" s="28">
        <f>300*0.035</f>
        <v>10.500000000000002</v>
      </c>
      <c r="Q11" s="28">
        <v>0</v>
      </c>
      <c r="R11" s="2">
        <f>270*0.075</f>
        <v>20.25</v>
      </c>
      <c r="S11" s="2">
        <v>0</v>
      </c>
      <c r="T11" s="2">
        <v>0</v>
      </c>
      <c r="U11" s="18">
        <v>12</v>
      </c>
      <c r="V11" s="18">
        <v>9.4499999999999993</v>
      </c>
      <c r="W11" s="18">
        <v>0</v>
      </c>
      <c r="X11" s="2">
        <v>0</v>
      </c>
      <c r="Y11" s="2">
        <v>0</v>
      </c>
      <c r="Z11" s="48">
        <f>SUM(C11:Y11)-O11-C11</f>
        <v>177.54999999999998</v>
      </c>
    </row>
    <row r="12" spans="1:26" x14ac:dyDescent="0.2">
      <c r="A12" s="20" t="s">
        <v>16</v>
      </c>
      <c r="B12" s="16" t="s">
        <v>22</v>
      </c>
      <c r="C12" s="2">
        <v>0</v>
      </c>
      <c r="D12" s="2">
        <v>23.8</v>
      </c>
      <c r="E12" s="2">
        <v>0</v>
      </c>
      <c r="F12" s="33">
        <f>320*0.01</f>
        <v>3.2</v>
      </c>
      <c r="G12" s="2">
        <v>0</v>
      </c>
      <c r="H12" s="18">
        <v>0</v>
      </c>
      <c r="I12" s="18">
        <v>6.6</v>
      </c>
      <c r="J12" s="18">
        <f>300*0.04</f>
        <v>12</v>
      </c>
      <c r="K12" s="31">
        <v>3.5</v>
      </c>
      <c r="L12" s="18">
        <f>280*0.04</f>
        <v>11.200000000000001</v>
      </c>
      <c r="M12" s="18">
        <v>10.4</v>
      </c>
      <c r="N12" s="28">
        <v>0</v>
      </c>
      <c r="O12" s="28">
        <f>260*0.085</f>
        <v>22.1</v>
      </c>
      <c r="P12" s="32">
        <f>300*0.01</f>
        <v>3</v>
      </c>
      <c r="Q12" s="28">
        <f>310*0.08</f>
        <v>24.8</v>
      </c>
      <c r="R12" s="2">
        <v>0</v>
      </c>
      <c r="S12" s="2">
        <f>170*0.09</f>
        <v>15.299999999999999</v>
      </c>
      <c r="T12" s="2">
        <v>0</v>
      </c>
      <c r="U12" s="18">
        <v>4.8</v>
      </c>
      <c r="V12" s="31">
        <v>2.7</v>
      </c>
      <c r="W12" s="18">
        <f>270*0.055</f>
        <v>14.85</v>
      </c>
      <c r="X12" s="2">
        <f>280*0.035</f>
        <v>9.8000000000000007</v>
      </c>
      <c r="Y12" s="2">
        <f>270*0.03</f>
        <v>8.1</v>
      </c>
      <c r="Z12" s="48">
        <f>SUM(C12:Y12)-V12-P12-F12-K12</f>
        <v>163.75000000000003</v>
      </c>
    </row>
    <row r="13" spans="1:26" x14ac:dyDescent="0.2">
      <c r="A13" s="20" t="s">
        <v>19</v>
      </c>
      <c r="B13" s="16" t="s">
        <v>39</v>
      </c>
      <c r="C13" s="2">
        <v>0</v>
      </c>
      <c r="D13" s="2">
        <v>9.8000000000000007</v>
      </c>
      <c r="E13" s="2">
        <v>0</v>
      </c>
      <c r="F13" s="2">
        <v>0</v>
      </c>
      <c r="G13" s="2">
        <v>0</v>
      </c>
      <c r="H13" s="18">
        <v>0</v>
      </c>
      <c r="I13" s="18">
        <v>26.4</v>
      </c>
      <c r="J13" s="18">
        <f>300*0.085</f>
        <v>25.500000000000004</v>
      </c>
      <c r="K13" s="18">
        <v>0</v>
      </c>
      <c r="L13" s="18">
        <f>280*0.085</f>
        <v>23.8</v>
      </c>
      <c r="M13" s="18">
        <v>2.6</v>
      </c>
      <c r="N13" s="28">
        <v>0</v>
      </c>
      <c r="O13" s="28">
        <f>260*0.05</f>
        <v>13</v>
      </c>
      <c r="P13" s="28">
        <v>0</v>
      </c>
      <c r="Q13" s="28">
        <f>310*0.06</f>
        <v>18.599999999999998</v>
      </c>
      <c r="R13" s="2">
        <v>0</v>
      </c>
      <c r="S13" s="2">
        <f>170*0.075</f>
        <v>12.75</v>
      </c>
      <c r="T13" s="2">
        <v>0</v>
      </c>
      <c r="U13" s="18">
        <v>0</v>
      </c>
      <c r="V13" s="18">
        <v>0</v>
      </c>
      <c r="W13" s="18">
        <f>270*0.05</f>
        <v>13.5</v>
      </c>
      <c r="X13" s="2">
        <v>0</v>
      </c>
      <c r="Y13" s="2">
        <v>0</v>
      </c>
      <c r="Z13" s="48">
        <f>SUM(C13:Y13)</f>
        <v>145.94999999999999</v>
      </c>
    </row>
    <row r="14" spans="1:26" x14ac:dyDescent="0.2">
      <c r="A14" s="20" t="s">
        <v>21</v>
      </c>
      <c r="B14" s="16" t="s">
        <v>124</v>
      </c>
      <c r="C14" s="2">
        <v>0</v>
      </c>
      <c r="D14" s="2">
        <v>21</v>
      </c>
      <c r="E14" s="2">
        <v>0</v>
      </c>
      <c r="F14" s="2">
        <v>0</v>
      </c>
      <c r="G14" s="2">
        <v>3.5</v>
      </c>
      <c r="H14" s="18">
        <v>0</v>
      </c>
      <c r="I14" s="18">
        <v>0</v>
      </c>
      <c r="J14" s="18">
        <f>300*0.08</f>
        <v>24</v>
      </c>
      <c r="K14" s="18">
        <v>24.5</v>
      </c>
      <c r="L14" s="18">
        <f>280*0.055</f>
        <v>15.4</v>
      </c>
      <c r="M14" s="18">
        <v>20.8</v>
      </c>
      <c r="N14" s="28">
        <v>0</v>
      </c>
      <c r="O14" s="28">
        <v>0</v>
      </c>
      <c r="P14" s="28">
        <v>0</v>
      </c>
      <c r="Q14" s="28">
        <f>310*0.01</f>
        <v>3.1</v>
      </c>
      <c r="R14" s="2">
        <f>270*0.09</f>
        <v>24.3</v>
      </c>
      <c r="S14" s="2">
        <f>170*0.04</f>
        <v>6.8</v>
      </c>
      <c r="T14" s="2">
        <v>0</v>
      </c>
      <c r="U14" s="18">
        <v>0</v>
      </c>
      <c r="V14" s="18">
        <v>0</v>
      </c>
      <c r="W14" s="18">
        <v>0</v>
      </c>
      <c r="X14" s="2">
        <v>0</v>
      </c>
      <c r="Y14" s="2">
        <v>0</v>
      </c>
      <c r="Z14" s="48">
        <f>SUM(C14:Y14)</f>
        <v>143.4</v>
      </c>
    </row>
    <row r="15" spans="1:26" x14ac:dyDescent="0.2">
      <c r="A15" s="20" t="s">
        <v>56</v>
      </c>
      <c r="B15" s="16" t="s">
        <v>140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18">
        <v>0</v>
      </c>
      <c r="I15" s="18">
        <v>18.149999999999999</v>
      </c>
      <c r="J15" s="18">
        <v>0</v>
      </c>
      <c r="K15" s="18">
        <v>0</v>
      </c>
      <c r="L15" s="18">
        <v>0</v>
      </c>
      <c r="M15" s="18">
        <v>0</v>
      </c>
      <c r="N15" s="28">
        <v>0</v>
      </c>
      <c r="O15" s="28">
        <f>260*0.1</f>
        <v>26</v>
      </c>
      <c r="P15" s="28">
        <f>300*0.085</f>
        <v>25.500000000000004</v>
      </c>
      <c r="Q15" s="28">
        <v>0</v>
      </c>
      <c r="R15" s="2">
        <v>0</v>
      </c>
      <c r="S15" s="2">
        <v>0</v>
      </c>
      <c r="T15" s="2">
        <v>0</v>
      </c>
      <c r="U15" s="18">
        <v>0</v>
      </c>
      <c r="V15" s="18">
        <v>22.95</v>
      </c>
      <c r="W15" s="18">
        <f>270*0.085</f>
        <v>22.950000000000003</v>
      </c>
      <c r="X15" s="2">
        <f>280*0.08</f>
        <v>22.400000000000002</v>
      </c>
      <c r="Y15" s="2">
        <v>0</v>
      </c>
      <c r="Z15" s="48">
        <f>SUM(C15:Y15)</f>
        <v>137.95000000000002</v>
      </c>
    </row>
    <row r="16" spans="1:26" x14ac:dyDescent="0.2">
      <c r="A16" s="20" t="s">
        <v>57</v>
      </c>
      <c r="B16" s="16" t="s">
        <v>131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18">
        <v>13.2</v>
      </c>
      <c r="I16" s="18">
        <v>0</v>
      </c>
      <c r="J16" s="18">
        <v>0</v>
      </c>
      <c r="K16" s="18">
        <v>29.75</v>
      </c>
      <c r="L16" s="18">
        <f>280*0.075</f>
        <v>21</v>
      </c>
      <c r="M16" s="18">
        <v>7.8</v>
      </c>
      <c r="N16" s="28">
        <v>0</v>
      </c>
      <c r="O16" s="28">
        <f>260*0.035</f>
        <v>9.1000000000000014</v>
      </c>
      <c r="P16" s="28">
        <f>300*0.04</f>
        <v>12</v>
      </c>
      <c r="Q16" s="28">
        <f>310*0.05</f>
        <v>15.5</v>
      </c>
      <c r="R16" s="2">
        <f>270*0.035</f>
        <v>9.4500000000000011</v>
      </c>
      <c r="S16" s="2">
        <f>170*0.085</f>
        <v>14.450000000000001</v>
      </c>
      <c r="T16" s="2">
        <v>0</v>
      </c>
      <c r="U16" s="18">
        <v>0</v>
      </c>
      <c r="V16" s="18">
        <v>0</v>
      </c>
      <c r="W16" s="18">
        <f>270*0.02</f>
        <v>5.4</v>
      </c>
      <c r="X16" s="2">
        <v>0</v>
      </c>
      <c r="Y16" s="2">
        <v>0</v>
      </c>
      <c r="Z16" s="48">
        <f>SUM(C16:Y16)</f>
        <v>137.65</v>
      </c>
    </row>
    <row r="17" spans="1:26" x14ac:dyDescent="0.2">
      <c r="A17" s="20" t="s">
        <v>273</v>
      </c>
      <c r="B17" s="16" t="s">
        <v>78</v>
      </c>
      <c r="C17" s="2">
        <v>0</v>
      </c>
      <c r="D17" s="2">
        <v>0</v>
      </c>
      <c r="E17" s="2">
        <f>390*0.04</f>
        <v>15.6</v>
      </c>
      <c r="F17" s="2">
        <f>320*0.085</f>
        <v>27.200000000000003</v>
      </c>
      <c r="G17" s="2">
        <v>22.75</v>
      </c>
      <c r="H17" s="18">
        <v>0</v>
      </c>
      <c r="I17" s="18">
        <v>13.2</v>
      </c>
      <c r="J17" s="18">
        <v>0</v>
      </c>
      <c r="K17" s="18">
        <v>17.5</v>
      </c>
      <c r="L17" s="18">
        <f>280*0.01</f>
        <v>2.8000000000000003</v>
      </c>
      <c r="M17" s="18">
        <v>0</v>
      </c>
      <c r="N17" s="28">
        <v>0</v>
      </c>
      <c r="O17" s="28">
        <f>260*0.04</f>
        <v>10.4</v>
      </c>
      <c r="P17" s="28">
        <f>300*0.02</f>
        <v>6</v>
      </c>
      <c r="Q17" s="28">
        <f>310*0.01</f>
        <v>3.1</v>
      </c>
      <c r="R17" s="2">
        <v>0</v>
      </c>
      <c r="S17" s="2">
        <v>0</v>
      </c>
      <c r="T17" s="2">
        <v>0</v>
      </c>
      <c r="U17" s="18">
        <v>0</v>
      </c>
      <c r="V17" s="18">
        <v>0</v>
      </c>
      <c r="W17" s="18">
        <f>270*0.04</f>
        <v>10.8</v>
      </c>
      <c r="X17" s="2">
        <v>0</v>
      </c>
      <c r="Y17" s="2">
        <v>0</v>
      </c>
      <c r="Z17" s="48">
        <f>SUM(C17:Y17)</f>
        <v>129.35000000000002</v>
      </c>
    </row>
    <row r="18" spans="1:26" x14ac:dyDescent="0.2">
      <c r="A18" s="20" t="s">
        <v>24</v>
      </c>
      <c r="B18" s="16" t="s">
        <v>9</v>
      </c>
      <c r="C18" s="2">
        <v>26.4</v>
      </c>
      <c r="D18" s="2">
        <v>16.8</v>
      </c>
      <c r="E18" s="2">
        <f>390*0.02</f>
        <v>7.8</v>
      </c>
      <c r="F18" s="2">
        <f>320*0.05</f>
        <v>16</v>
      </c>
      <c r="G18" s="2">
        <v>0</v>
      </c>
      <c r="H18" s="18">
        <v>19.8</v>
      </c>
      <c r="I18" s="18">
        <v>0</v>
      </c>
      <c r="J18" s="18">
        <v>0</v>
      </c>
      <c r="K18" s="18">
        <v>0</v>
      </c>
      <c r="L18" s="18">
        <f>280*0.01</f>
        <v>2.8000000000000003</v>
      </c>
      <c r="M18" s="18">
        <v>0</v>
      </c>
      <c r="N18" s="28">
        <v>0</v>
      </c>
      <c r="O18" s="28">
        <v>0</v>
      </c>
      <c r="P18" s="28">
        <f>300*0.09</f>
        <v>27</v>
      </c>
      <c r="Q18" s="28">
        <v>0</v>
      </c>
      <c r="R18" s="2">
        <f>270*0.02</f>
        <v>5.4</v>
      </c>
      <c r="S18" s="2">
        <v>0</v>
      </c>
      <c r="T18" s="2">
        <v>0</v>
      </c>
      <c r="U18" s="18">
        <v>0</v>
      </c>
      <c r="V18" s="18">
        <v>0</v>
      </c>
      <c r="W18" s="18">
        <v>0</v>
      </c>
      <c r="X18" s="2">
        <v>0</v>
      </c>
      <c r="Y18" s="2">
        <v>0</v>
      </c>
      <c r="Z18" s="48">
        <f>SUM(C18:Y18)</f>
        <v>122</v>
      </c>
    </row>
    <row r="19" spans="1:26" x14ac:dyDescent="0.2">
      <c r="A19" s="20" t="s">
        <v>26</v>
      </c>
      <c r="B19" s="16" t="s">
        <v>118</v>
      </c>
      <c r="C19" s="2">
        <v>0</v>
      </c>
      <c r="D19" s="2">
        <v>0</v>
      </c>
      <c r="E19" s="2">
        <v>0</v>
      </c>
      <c r="F19" s="2">
        <f>320*0.075</f>
        <v>24</v>
      </c>
      <c r="G19" s="2">
        <v>17.5</v>
      </c>
      <c r="H19" s="18">
        <v>0</v>
      </c>
      <c r="I19" s="18">
        <v>9.9</v>
      </c>
      <c r="J19" s="18">
        <f>300*0.055</f>
        <v>16.5</v>
      </c>
      <c r="K19" s="18">
        <v>0</v>
      </c>
      <c r="L19" s="18">
        <v>0</v>
      </c>
      <c r="M19" s="18">
        <v>19.5</v>
      </c>
      <c r="N19" s="28">
        <v>0</v>
      </c>
      <c r="O19" s="28">
        <v>0</v>
      </c>
      <c r="P19" s="28">
        <v>0</v>
      </c>
      <c r="Q19" s="28">
        <f>310*0.04</f>
        <v>12.4</v>
      </c>
      <c r="R19" s="2">
        <v>0</v>
      </c>
      <c r="S19" s="2">
        <v>0</v>
      </c>
      <c r="T19" s="2">
        <v>0</v>
      </c>
      <c r="U19" s="18">
        <v>0</v>
      </c>
      <c r="V19" s="18">
        <v>0</v>
      </c>
      <c r="W19" s="18">
        <v>0</v>
      </c>
      <c r="X19" s="2">
        <f>280*0.065</f>
        <v>18.2</v>
      </c>
      <c r="Y19" s="2">
        <v>0</v>
      </c>
      <c r="Z19" s="48">
        <f>SUM(C19:Y19)</f>
        <v>118.00000000000001</v>
      </c>
    </row>
    <row r="20" spans="1:26" x14ac:dyDescent="0.2">
      <c r="A20" s="20" t="s">
        <v>28</v>
      </c>
      <c r="B20" s="16" t="s">
        <v>23</v>
      </c>
      <c r="C20" s="2">
        <v>17.600000000000001</v>
      </c>
      <c r="D20" s="2">
        <v>0</v>
      </c>
      <c r="E20" s="2">
        <f>390*0.035</f>
        <v>13.650000000000002</v>
      </c>
      <c r="F20" s="2">
        <v>0</v>
      </c>
      <c r="G20" s="2">
        <v>19.25</v>
      </c>
      <c r="H20" s="18">
        <v>0</v>
      </c>
      <c r="I20" s="18">
        <v>0</v>
      </c>
      <c r="J20" s="18">
        <f>300*0.035</f>
        <v>10.500000000000002</v>
      </c>
      <c r="K20" s="18">
        <v>22.75</v>
      </c>
      <c r="L20" s="18">
        <f>280*0.06</f>
        <v>16.8</v>
      </c>
      <c r="M20" s="18">
        <v>0</v>
      </c>
      <c r="N20" s="28">
        <v>0</v>
      </c>
      <c r="O20" s="28">
        <v>0</v>
      </c>
      <c r="P20" s="2">
        <v>0</v>
      </c>
      <c r="Q20" s="2">
        <f>310*0.02</f>
        <v>6.2</v>
      </c>
      <c r="R20" s="2">
        <v>0</v>
      </c>
      <c r="S20" s="2">
        <v>0</v>
      </c>
      <c r="T20" s="2">
        <v>0</v>
      </c>
      <c r="U20" s="18">
        <v>0</v>
      </c>
      <c r="V20" s="18">
        <v>0</v>
      </c>
      <c r="W20" s="18">
        <v>0</v>
      </c>
      <c r="X20" s="2">
        <v>0</v>
      </c>
      <c r="Y20" s="2">
        <v>0</v>
      </c>
      <c r="Z20" s="48">
        <f>SUM(C20:Y20)</f>
        <v>106.75</v>
      </c>
    </row>
    <row r="21" spans="1:26" x14ac:dyDescent="0.2">
      <c r="A21" s="20" t="s">
        <v>29</v>
      </c>
      <c r="B21" s="16" t="s">
        <v>7</v>
      </c>
      <c r="C21" s="2">
        <v>37.4</v>
      </c>
      <c r="D21" s="2">
        <v>9.8000000000000007</v>
      </c>
      <c r="E21" s="2">
        <v>0</v>
      </c>
      <c r="F21" s="2">
        <f>320*0.035</f>
        <v>11.200000000000001</v>
      </c>
      <c r="G21" s="2">
        <v>10.5</v>
      </c>
      <c r="H21" s="18">
        <v>16.5</v>
      </c>
      <c r="I21" s="18">
        <v>6.6</v>
      </c>
      <c r="J21" s="18">
        <v>0</v>
      </c>
      <c r="K21" s="18">
        <v>0</v>
      </c>
      <c r="L21" s="18">
        <v>0</v>
      </c>
      <c r="M21" s="18">
        <v>0</v>
      </c>
      <c r="N21" s="28">
        <v>0</v>
      </c>
      <c r="O21" s="28">
        <v>0</v>
      </c>
      <c r="P21" s="28">
        <v>0</v>
      </c>
      <c r="Q21" s="28">
        <v>0</v>
      </c>
      <c r="R21" s="2">
        <v>0</v>
      </c>
      <c r="S21" s="2">
        <v>0</v>
      </c>
      <c r="T21" s="2">
        <v>0</v>
      </c>
      <c r="U21" s="18">
        <v>0</v>
      </c>
      <c r="V21" s="18">
        <v>0</v>
      </c>
      <c r="W21" s="18">
        <v>0</v>
      </c>
      <c r="X21" s="2">
        <v>0</v>
      </c>
      <c r="Y21" s="2">
        <v>0</v>
      </c>
      <c r="Z21" s="48">
        <f>SUM(C21:Y21)</f>
        <v>92</v>
      </c>
    </row>
    <row r="22" spans="1:26" ht="17" thickBot="1" x14ac:dyDescent="0.25">
      <c r="A22" s="21" t="s">
        <v>30</v>
      </c>
      <c r="B22" s="17" t="s">
        <v>12</v>
      </c>
      <c r="C22" s="3">
        <v>33</v>
      </c>
      <c r="D22" s="3">
        <v>0</v>
      </c>
      <c r="E22" s="3">
        <v>0</v>
      </c>
      <c r="F22" s="3">
        <f>320*0.1</f>
        <v>32</v>
      </c>
      <c r="G22" s="3">
        <v>26.25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3">
        <v>0</v>
      </c>
      <c r="O22" s="3">
        <v>0</v>
      </c>
      <c r="P22" s="19">
        <v>0</v>
      </c>
      <c r="Q22" s="19">
        <v>0</v>
      </c>
      <c r="R22" s="3">
        <v>0</v>
      </c>
      <c r="S22" s="3">
        <v>0</v>
      </c>
      <c r="T22" s="3">
        <v>0</v>
      </c>
      <c r="U22" s="19">
        <v>0</v>
      </c>
      <c r="V22" s="19">
        <v>0</v>
      </c>
      <c r="W22" s="19">
        <v>0</v>
      </c>
      <c r="X22" s="3">
        <v>0</v>
      </c>
      <c r="Y22" s="3">
        <v>0</v>
      </c>
      <c r="Z22" s="49">
        <f>SUM(C22:Y22)</f>
        <v>91.25</v>
      </c>
    </row>
    <row r="23" spans="1:26" x14ac:dyDescent="0.2">
      <c r="A23" s="8" t="s">
        <v>34</v>
      </c>
      <c r="B23" s="40" t="s">
        <v>45</v>
      </c>
      <c r="C23" s="39">
        <v>0</v>
      </c>
      <c r="D23" s="39">
        <v>5.6</v>
      </c>
      <c r="E23" s="39">
        <f>390*0.075</f>
        <v>29.25</v>
      </c>
      <c r="F23" s="41">
        <f>320*0.03</f>
        <v>9.6</v>
      </c>
      <c r="G23" s="41">
        <v>0</v>
      </c>
      <c r="H23" s="41">
        <v>21.45</v>
      </c>
      <c r="I23" s="41">
        <v>0</v>
      </c>
      <c r="J23" s="41">
        <f>300*0.01</f>
        <v>3</v>
      </c>
      <c r="K23" s="41">
        <v>0</v>
      </c>
      <c r="L23" s="41">
        <f>280*0.05</f>
        <v>14</v>
      </c>
      <c r="M23" s="41">
        <v>0</v>
      </c>
      <c r="N23" s="38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44">
        <v>0</v>
      </c>
      <c r="X23" s="30">
        <v>0</v>
      </c>
      <c r="Y23" s="30">
        <v>0</v>
      </c>
      <c r="Z23" s="50">
        <f>SUM(C23:Y23)</f>
        <v>82.9</v>
      </c>
    </row>
    <row r="24" spans="1:26" x14ac:dyDescent="0.2">
      <c r="A24" s="4" t="s">
        <v>35</v>
      </c>
      <c r="B24" s="4" t="s">
        <v>120</v>
      </c>
      <c r="C24" s="5">
        <v>0</v>
      </c>
      <c r="D24" s="5">
        <v>0</v>
      </c>
      <c r="E24" s="5">
        <v>0</v>
      </c>
      <c r="F24" s="10">
        <v>0</v>
      </c>
      <c r="G24" s="10">
        <v>29.75</v>
      </c>
      <c r="H24" s="10">
        <v>0</v>
      </c>
      <c r="I24" s="10">
        <v>29.7</v>
      </c>
      <c r="J24" s="10">
        <v>0</v>
      </c>
      <c r="K24" s="10">
        <v>0</v>
      </c>
      <c r="L24" s="10">
        <v>0</v>
      </c>
      <c r="M24" s="10">
        <v>0</v>
      </c>
      <c r="N24" s="29">
        <v>0</v>
      </c>
      <c r="O24" s="30">
        <f>260*0.08</f>
        <v>20.8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44">
        <v>0</v>
      </c>
      <c r="X24" s="30">
        <v>0</v>
      </c>
      <c r="Y24" s="30">
        <v>0</v>
      </c>
      <c r="Z24" s="50">
        <f>SUM(C24:Y24)</f>
        <v>80.25</v>
      </c>
    </row>
    <row r="25" spans="1:26" x14ac:dyDescent="0.2">
      <c r="A25" s="4" t="s">
        <v>36</v>
      </c>
      <c r="B25" s="4" t="s">
        <v>31</v>
      </c>
      <c r="C25" s="5">
        <v>0</v>
      </c>
      <c r="D25" s="5">
        <v>15.4</v>
      </c>
      <c r="E25" s="5">
        <f>390*0.01</f>
        <v>3.9</v>
      </c>
      <c r="F25" s="10">
        <v>0</v>
      </c>
      <c r="G25" s="10">
        <v>28</v>
      </c>
      <c r="H25" s="10">
        <v>9.9</v>
      </c>
      <c r="I25" s="10">
        <v>3.3</v>
      </c>
      <c r="J25" s="10">
        <f>300*0.035</f>
        <v>10.500000000000002</v>
      </c>
      <c r="K25" s="10">
        <v>0</v>
      </c>
      <c r="L25" s="10">
        <f>280*0.03</f>
        <v>8.4</v>
      </c>
      <c r="M25" s="10">
        <v>0</v>
      </c>
      <c r="N25" s="29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44">
        <v>0</v>
      </c>
      <c r="X25" s="30">
        <v>0</v>
      </c>
      <c r="Y25" s="30">
        <v>0</v>
      </c>
      <c r="Z25" s="50">
        <f>SUM(C25:Y25)</f>
        <v>79.400000000000006</v>
      </c>
    </row>
    <row r="26" spans="1:26" x14ac:dyDescent="0.2">
      <c r="A26" s="4" t="s">
        <v>40</v>
      </c>
      <c r="B26" s="4" t="s">
        <v>20</v>
      </c>
      <c r="C26" s="5">
        <v>15.4</v>
      </c>
      <c r="D26" s="5">
        <v>8.4</v>
      </c>
      <c r="E26" s="5">
        <v>0</v>
      </c>
      <c r="F26" s="10">
        <v>0</v>
      </c>
      <c r="G26" s="10">
        <v>14</v>
      </c>
      <c r="H26" s="10">
        <v>0</v>
      </c>
      <c r="I26" s="10">
        <v>0</v>
      </c>
      <c r="J26" s="10">
        <v>0</v>
      </c>
      <c r="K26" s="10">
        <v>19.25</v>
      </c>
      <c r="L26" s="10">
        <v>0</v>
      </c>
      <c r="M26" s="10">
        <v>14.3</v>
      </c>
      <c r="N26" s="29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44">
        <v>0</v>
      </c>
      <c r="X26" s="30">
        <v>0</v>
      </c>
      <c r="Y26" s="30">
        <v>0</v>
      </c>
      <c r="Z26" s="50">
        <f>SUM(C26:Y26)</f>
        <v>71.349999999999994</v>
      </c>
    </row>
    <row r="27" spans="1:26" x14ac:dyDescent="0.2">
      <c r="A27" s="4" t="s">
        <v>42</v>
      </c>
      <c r="B27" s="4" t="s">
        <v>130</v>
      </c>
      <c r="C27" s="5">
        <v>0</v>
      </c>
      <c r="D27" s="5">
        <v>0</v>
      </c>
      <c r="E27" s="5">
        <v>0</v>
      </c>
      <c r="F27" s="10">
        <v>0</v>
      </c>
      <c r="G27" s="10">
        <v>0</v>
      </c>
      <c r="H27" s="10">
        <v>29.25</v>
      </c>
      <c r="I27" s="10">
        <v>0</v>
      </c>
      <c r="J27" s="10">
        <f>300*0.1</f>
        <v>30</v>
      </c>
      <c r="K27" s="10">
        <v>3.5</v>
      </c>
      <c r="L27" s="10">
        <v>0</v>
      </c>
      <c r="M27" s="10">
        <v>7.8</v>
      </c>
      <c r="N27" s="29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44">
        <v>0</v>
      </c>
      <c r="X27" s="30">
        <v>0</v>
      </c>
      <c r="Y27" s="30">
        <v>0</v>
      </c>
      <c r="Z27" s="50">
        <f>SUM(C27:Y27)</f>
        <v>70.55</v>
      </c>
    </row>
    <row r="28" spans="1:26" x14ac:dyDescent="0.2">
      <c r="A28" s="4" t="s">
        <v>69</v>
      </c>
      <c r="B28" s="4" t="s">
        <v>197</v>
      </c>
      <c r="C28" s="5">
        <v>0</v>
      </c>
      <c r="D28" s="5">
        <v>0</v>
      </c>
      <c r="E28" s="5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9">
        <v>0</v>
      </c>
      <c r="M28" s="10">
        <v>0</v>
      </c>
      <c r="N28" s="29">
        <v>0</v>
      </c>
      <c r="O28" s="30">
        <f>260*0.09</f>
        <v>23.4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19.2</v>
      </c>
      <c r="V28" s="30">
        <v>0</v>
      </c>
      <c r="W28" s="45">
        <f>270*0.09</f>
        <v>24.3</v>
      </c>
      <c r="X28" s="30">
        <v>0</v>
      </c>
      <c r="Y28" s="30">
        <v>0</v>
      </c>
      <c r="Z28" s="50">
        <f>SUM(C28:Y28)</f>
        <v>66.899999999999991</v>
      </c>
    </row>
    <row r="29" spans="1:26" x14ac:dyDescent="0.2">
      <c r="A29" s="4" t="s">
        <v>44</v>
      </c>
      <c r="B29" s="4" t="s">
        <v>5</v>
      </c>
      <c r="C29" s="5">
        <v>30.8</v>
      </c>
      <c r="D29" s="5">
        <v>18.2</v>
      </c>
      <c r="E29" s="5">
        <f>390*0.035</f>
        <v>13.650000000000002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29">
        <v>0</v>
      </c>
      <c r="O29" s="30">
        <v>0</v>
      </c>
      <c r="P29" s="30">
        <v>0</v>
      </c>
      <c r="Q29" s="30">
        <v>0</v>
      </c>
      <c r="R29" s="5">
        <v>0</v>
      </c>
      <c r="S29" s="30">
        <v>0</v>
      </c>
      <c r="T29" s="30">
        <v>0</v>
      </c>
      <c r="U29" s="30">
        <v>0</v>
      </c>
      <c r="V29" s="30">
        <v>0</v>
      </c>
      <c r="W29" s="44">
        <v>0</v>
      </c>
      <c r="X29" s="30">
        <v>0</v>
      </c>
      <c r="Y29" s="30">
        <v>0</v>
      </c>
      <c r="Z29" s="50">
        <f>SUM(C29:Y29)</f>
        <v>62.650000000000006</v>
      </c>
    </row>
    <row r="30" spans="1:26" x14ac:dyDescent="0.2">
      <c r="A30" s="4" t="s">
        <v>46</v>
      </c>
      <c r="B30" s="6" t="s">
        <v>112</v>
      </c>
      <c r="C30" s="7">
        <v>0</v>
      </c>
      <c r="D30" s="7">
        <v>0</v>
      </c>
      <c r="E30" s="7">
        <v>0</v>
      </c>
      <c r="F30" s="9">
        <f>320*0.02</f>
        <v>6.4</v>
      </c>
      <c r="G30" s="9">
        <v>31.5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29">
        <v>0</v>
      </c>
      <c r="O30" s="30">
        <v>0</v>
      </c>
      <c r="P30" s="30">
        <v>0</v>
      </c>
      <c r="Q30" s="30">
        <f>310*0.07</f>
        <v>21.700000000000003</v>
      </c>
      <c r="R30" s="5">
        <f>270*0.01</f>
        <v>2.7</v>
      </c>
      <c r="S30" s="30">
        <v>0</v>
      </c>
      <c r="T30" s="30">
        <v>0</v>
      </c>
      <c r="U30" s="30">
        <v>0</v>
      </c>
      <c r="V30" s="30">
        <v>0</v>
      </c>
      <c r="W30" s="44">
        <v>0</v>
      </c>
      <c r="X30" s="30">
        <v>0</v>
      </c>
      <c r="Y30" s="30">
        <v>0</v>
      </c>
      <c r="Z30" s="50">
        <f>SUM(C30:Y30)</f>
        <v>62.300000000000004</v>
      </c>
    </row>
    <row r="31" spans="1:26" x14ac:dyDescent="0.2">
      <c r="A31" s="4" t="s">
        <v>81</v>
      </c>
      <c r="B31" s="4" t="s">
        <v>178</v>
      </c>
      <c r="C31" s="5">
        <v>0</v>
      </c>
      <c r="D31" s="5">
        <v>0</v>
      </c>
      <c r="E31" s="5">
        <v>0</v>
      </c>
      <c r="F31" s="10">
        <v>0</v>
      </c>
      <c r="G31" s="10">
        <v>0</v>
      </c>
      <c r="H31" s="10">
        <v>0</v>
      </c>
      <c r="I31" s="10">
        <v>0</v>
      </c>
      <c r="J31" s="10">
        <f>300*0.02</f>
        <v>6</v>
      </c>
      <c r="K31" s="10">
        <v>0</v>
      </c>
      <c r="L31" s="9">
        <v>0</v>
      </c>
      <c r="M31" s="9">
        <v>0</v>
      </c>
      <c r="N31" s="29">
        <v>0</v>
      </c>
      <c r="O31" s="30">
        <v>0</v>
      </c>
      <c r="P31" s="30">
        <v>0</v>
      </c>
      <c r="Q31" s="30">
        <f>310*0.035</f>
        <v>10.850000000000001</v>
      </c>
      <c r="R31" s="5">
        <f>270*0.055</f>
        <v>14.85</v>
      </c>
      <c r="S31" s="30">
        <v>0</v>
      </c>
      <c r="T31" s="30">
        <v>0</v>
      </c>
      <c r="U31" s="30">
        <v>0</v>
      </c>
      <c r="V31" s="30">
        <v>2.7</v>
      </c>
      <c r="W31" s="45">
        <f>270*0.1</f>
        <v>27</v>
      </c>
      <c r="X31" s="30">
        <v>0</v>
      </c>
      <c r="Y31" s="30">
        <v>0</v>
      </c>
      <c r="Z31" s="50">
        <f>SUM(C31:Y31)</f>
        <v>61.400000000000006</v>
      </c>
    </row>
    <row r="32" spans="1:26" x14ac:dyDescent="0.2">
      <c r="A32" s="4" t="s">
        <v>48</v>
      </c>
      <c r="B32" s="4" t="s">
        <v>37</v>
      </c>
      <c r="C32" s="5">
        <v>44</v>
      </c>
      <c r="D32" s="5">
        <v>11.2</v>
      </c>
      <c r="E32" s="5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29">
        <v>0</v>
      </c>
      <c r="O32" s="30">
        <v>0</v>
      </c>
      <c r="P32" s="30">
        <v>0</v>
      </c>
      <c r="Q32" s="30">
        <v>0</v>
      </c>
      <c r="R32" s="5">
        <v>0</v>
      </c>
      <c r="S32" s="30">
        <v>0</v>
      </c>
      <c r="T32" s="30">
        <v>0</v>
      </c>
      <c r="U32" s="30">
        <v>0</v>
      </c>
      <c r="V32" s="30">
        <v>0</v>
      </c>
      <c r="W32" s="44">
        <v>0</v>
      </c>
      <c r="X32" s="30">
        <f>280*0.02</f>
        <v>5.6000000000000005</v>
      </c>
      <c r="Y32" s="30">
        <v>0</v>
      </c>
      <c r="Z32" s="50">
        <f>SUM(C32:Y32)</f>
        <v>60.800000000000004</v>
      </c>
    </row>
    <row r="33" spans="1:26" x14ac:dyDescent="0.2">
      <c r="A33" s="4" t="s">
        <v>64</v>
      </c>
      <c r="B33" s="4" t="s">
        <v>179</v>
      </c>
      <c r="C33" s="5">
        <v>0</v>
      </c>
      <c r="D33" s="5">
        <v>0</v>
      </c>
      <c r="E33" s="5">
        <v>0</v>
      </c>
      <c r="F33" s="10">
        <v>0</v>
      </c>
      <c r="G33" s="10">
        <v>0</v>
      </c>
      <c r="H33" s="10">
        <v>0</v>
      </c>
      <c r="I33" s="10">
        <v>0</v>
      </c>
      <c r="J33" s="10">
        <f>300*0.03</f>
        <v>9</v>
      </c>
      <c r="K33" s="10">
        <v>28</v>
      </c>
      <c r="L33" s="10">
        <v>0</v>
      </c>
      <c r="M33" s="10">
        <v>0</v>
      </c>
      <c r="N33" s="29">
        <v>0</v>
      </c>
      <c r="O33" s="30">
        <f>260*0.075</f>
        <v>19.5</v>
      </c>
      <c r="P33" s="30">
        <v>0</v>
      </c>
      <c r="Q33" s="30">
        <v>0</v>
      </c>
      <c r="R33" s="5">
        <v>0</v>
      </c>
      <c r="S33" s="30">
        <v>0</v>
      </c>
      <c r="T33" s="30">
        <v>0</v>
      </c>
      <c r="U33" s="30">
        <v>0</v>
      </c>
      <c r="V33" s="30">
        <v>0</v>
      </c>
      <c r="W33" s="44">
        <v>0</v>
      </c>
      <c r="X33" s="5">
        <v>0</v>
      </c>
      <c r="Y33" s="30">
        <v>0</v>
      </c>
      <c r="Z33" s="50">
        <f>SUM(C33:Y33)</f>
        <v>56.5</v>
      </c>
    </row>
    <row r="34" spans="1:26" x14ac:dyDescent="0.2">
      <c r="A34" s="4" t="s">
        <v>66</v>
      </c>
      <c r="B34" s="4" t="s">
        <v>25</v>
      </c>
      <c r="C34" s="5">
        <v>4.4000000000000004</v>
      </c>
      <c r="D34" s="5">
        <v>11.2</v>
      </c>
      <c r="E34" s="5">
        <v>0</v>
      </c>
      <c r="F34" s="10">
        <f>320*0.08</f>
        <v>25.6</v>
      </c>
      <c r="G34" s="10">
        <v>7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29">
        <v>0</v>
      </c>
      <c r="O34" s="30">
        <v>0</v>
      </c>
      <c r="P34" s="30">
        <v>0</v>
      </c>
      <c r="Q34" s="30">
        <v>0</v>
      </c>
      <c r="R34" s="5">
        <v>0</v>
      </c>
      <c r="S34" s="30">
        <v>0</v>
      </c>
      <c r="T34" s="30">
        <v>0</v>
      </c>
      <c r="U34" s="30">
        <v>0</v>
      </c>
      <c r="V34" s="30">
        <v>0</v>
      </c>
      <c r="W34" s="44">
        <v>0</v>
      </c>
      <c r="X34" s="5">
        <v>0</v>
      </c>
      <c r="Y34" s="30">
        <v>0</v>
      </c>
      <c r="Z34" s="50">
        <f>SUM(C34:Y34)</f>
        <v>48.2</v>
      </c>
    </row>
    <row r="35" spans="1:26" x14ac:dyDescent="0.2">
      <c r="A35" s="4" t="s">
        <v>67</v>
      </c>
      <c r="B35" s="4" t="s">
        <v>195</v>
      </c>
      <c r="C35" s="5">
        <v>0</v>
      </c>
      <c r="D35" s="5">
        <v>0</v>
      </c>
      <c r="E35" s="5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9">
        <v>0</v>
      </c>
      <c r="M35" s="10">
        <v>0</v>
      </c>
      <c r="N35" s="29">
        <v>0</v>
      </c>
      <c r="O35" s="30">
        <f>260*0.01</f>
        <v>2.6</v>
      </c>
      <c r="P35" s="30">
        <f>300*0.055</f>
        <v>16.5</v>
      </c>
      <c r="Q35" s="30">
        <f>310*0.055</f>
        <v>17.05</v>
      </c>
      <c r="R35" s="5">
        <f>270*0.02</f>
        <v>5.4</v>
      </c>
      <c r="S35" s="30">
        <v>0</v>
      </c>
      <c r="T35" s="30">
        <v>0</v>
      </c>
      <c r="U35" s="30">
        <v>4.8</v>
      </c>
      <c r="V35" s="30">
        <v>0</v>
      </c>
      <c r="W35" s="44">
        <v>0</v>
      </c>
      <c r="X35" s="5">
        <v>0</v>
      </c>
      <c r="Y35" s="30">
        <v>0</v>
      </c>
      <c r="Z35" s="50">
        <f>SUM(C35:Y35)</f>
        <v>46.35</v>
      </c>
    </row>
    <row r="36" spans="1:26" x14ac:dyDescent="0.2">
      <c r="A36" s="4" t="s">
        <v>68</v>
      </c>
      <c r="B36" s="4" t="s">
        <v>138</v>
      </c>
      <c r="C36" s="5">
        <v>0</v>
      </c>
      <c r="D36" s="5">
        <v>0</v>
      </c>
      <c r="E36" s="5">
        <v>0</v>
      </c>
      <c r="F36" s="10">
        <v>0</v>
      </c>
      <c r="G36" s="10">
        <v>0</v>
      </c>
      <c r="H36" s="10">
        <v>0</v>
      </c>
      <c r="I36" s="10">
        <v>21.45</v>
      </c>
      <c r="J36" s="10">
        <v>0</v>
      </c>
      <c r="K36" s="10">
        <v>0</v>
      </c>
      <c r="L36" s="10">
        <v>0</v>
      </c>
      <c r="M36" s="10">
        <v>23.4</v>
      </c>
      <c r="N36" s="29">
        <v>0</v>
      </c>
      <c r="O36" s="30">
        <v>0</v>
      </c>
      <c r="P36" s="30">
        <v>0</v>
      </c>
      <c r="Q36" s="30">
        <v>0</v>
      </c>
      <c r="R36" s="5">
        <v>0</v>
      </c>
      <c r="S36" s="30">
        <v>0</v>
      </c>
      <c r="T36" s="30">
        <v>0</v>
      </c>
      <c r="U36" s="30">
        <v>0</v>
      </c>
      <c r="V36" s="30">
        <v>0</v>
      </c>
      <c r="W36" s="44">
        <v>0</v>
      </c>
      <c r="X36" s="5">
        <v>0</v>
      </c>
      <c r="Y36" s="30">
        <v>0</v>
      </c>
      <c r="Z36" s="50">
        <f>SUM(C36:Y36)</f>
        <v>44.849999999999994</v>
      </c>
    </row>
    <row r="37" spans="1:26" x14ac:dyDescent="0.2">
      <c r="A37" s="4" t="s">
        <v>99</v>
      </c>
      <c r="B37" s="4" t="s">
        <v>201</v>
      </c>
      <c r="C37" s="5">
        <v>0</v>
      </c>
      <c r="D37" s="5">
        <v>0</v>
      </c>
      <c r="E37" s="5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9">
        <v>0</v>
      </c>
      <c r="M37" s="10">
        <v>0</v>
      </c>
      <c r="N37" s="29">
        <v>0</v>
      </c>
      <c r="O37" s="30">
        <v>0</v>
      </c>
      <c r="P37" s="30">
        <f>300*0.075</f>
        <v>22.5</v>
      </c>
      <c r="Q37" s="30">
        <v>0</v>
      </c>
      <c r="R37" s="5">
        <v>0</v>
      </c>
      <c r="S37" s="30">
        <v>0</v>
      </c>
      <c r="T37" s="30">
        <v>0</v>
      </c>
      <c r="U37" s="30">
        <v>0</v>
      </c>
      <c r="V37" s="30">
        <v>0</v>
      </c>
      <c r="W37" s="45">
        <f>270*0.075</f>
        <v>20.25</v>
      </c>
      <c r="X37" s="5">
        <v>0</v>
      </c>
      <c r="Y37" s="30">
        <v>0</v>
      </c>
      <c r="Z37" s="50">
        <f>SUM(C37:Y37)</f>
        <v>42.75</v>
      </c>
    </row>
    <row r="38" spans="1:26" x14ac:dyDescent="0.2">
      <c r="A38" s="4" t="s">
        <v>70</v>
      </c>
      <c r="B38" s="4" t="s">
        <v>263</v>
      </c>
      <c r="C38" s="5">
        <v>0</v>
      </c>
      <c r="D38" s="5">
        <v>0</v>
      </c>
      <c r="E38" s="5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9">
        <v>0</v>
      </c>
      <c r="M38" s="9">
        <v>0</v>
      </c>
      <c r="N38" s="38">
        <v>0</v>
      </c>
      <c r="O38" s="39">
        <v>0</v>
      </c>
      <c r="P38" s="39">
        <v>0</v>
      </c>
      <c r="Q38" s="39">
        <v>0</v>
      </c>
      <c r="R38" s="7">
        <v>0</v>
      </c>
      <c r="S38" s="39">
        <v>0</v>
      </c>
      <c r="T38" s="39">
        <v>0</v>
      </c>
      <c r="U38" s="39">
        <v>0</v>
      </c>
      <c r="V38" s="39">
        <v>0</v>
      </c>
      <c r="W38" s="45">
        <v>0</v>
      </c>
      <c r="X38" s="5">
        <f>280*0.085</f>
        <v>23.8</v>
      </c>
      <c r="Y38" s="30">
        <f>270*0.065</f>
        <v>17.55</v>
      </c>
      <c r="Z38" s="50">
        <f>SUM(C38:Y38)</f>
        <v>41.35</v>
      </c>
    </row>
    <row r="39" spans="1:26" x14ac:dyDescent="0.2">
      <c r="A39" s="4" t="s">
        <v>71</v>
      </c>
      <c r="B39" s="4" t="s">
        <v>180</v>
      </c>
      <c r="C39" s="5">
        <v>0</v>
      </c>
      <c r="D39" s="5">
        <v>0</v>
      </c>
      <c r="E39" s="5">
        <v>0</v>
      </c>
      <c r="F39" s="10">
        <v>0</v>
      </c>
      <c r="G39" s="10">
        <v>0</v>
      </c>
      <c r="H39" s="10">
        <v>0</v>
      </c>
      <c r="I39" s="10">
        <v>0</v>
      </c>
      <c r="J39" s="10">
        <f>300*0.06</f>
        <v>18</v>
      </c>
      <c r="K39" s="10">
        <v>10.5</v>
      </c>
      <c r="L39" s="10">
        <f>280*0.04</f>
        <v>11.200000000000001</v>
      </c>
      <c r="M39" s="10">
        <v>0</v>
      </c>
      <c r="N39" s="29">
        <v>0</v>
      </c>
      <c r="O39" s="30">
        <v>0</v>
      </c>
      <c r="P39" s="30">
        <v>0</v>
      </c>
      <c r="Q39" s="30">
        <v>0</v>
      </c>
      <c r="R39" s="5">
        <v>0</v>
      </c>
      <c r="S39" s="30">
        <v>0</v>
      </c>
      <c r="T39" s="30">
        <v>0</v>
      </c>
      <c r="U39" s="30">
        <v>0</v>
      </c>
      <c r="V39" s="30">
        <v>0</v>
      </c>
      <c r="W39" s="45">
        <v>0</v>
      </c>
      <c r="X39" s="5">
        <v>0</v>
      </c>
      <c r="Y39" s="30">
        <v>0</v>
      </c>
      <c r="Z39" s="50">
        <f>SUM(C39:Y39)</f>
        <v>39.700000000000003</v>
      </c>
    </row>
    <row r="40" spans="1:26" x14ac:dyDescent="0.2">
      <c r="A40" s="4" t="s">
        <v>72</v>
      </c>
      <c r="B40" s="6" t="s">
        <v>76</v>
      </c>
      <c r="C40" s="7">
        <v>0</v>
      </c>
      <c r="D40" s="7">
        <v>0</v>
      </c>
      <c r="E40" s="7">
        <f>390*0.055</f>
        <v>21.45</v>
      </c>
      <c r="F40" s="9">
        <v>0</v>
      </c>
      <c r="G40" s="9">
        <v>0</v>
      </c>
      <c r="H40" s="9">
        <v>0</v>
      </c>
      <c r="I40" s="9">
        <v>16.5</v>
      </c>
      <c r="J40" s="9">
        <v>0</v>
      </c>
      <c r="K40" s="9">
        <v>0</v>
      </c>
      <c r="L40" s="9">
        <v>0</v>
      </c>
      <c r="M40" s="9">
        <v>0</v>
      </c>
      <c r="N40" s="29">
        <v>0</v>
      </c>
      <c r="O40" s="30">
        <v>0</v>
      </c>
      <c r="P40" s="30">
        <v>0</v>
      </c>
      <c r="Q40" s="30">
        <v>0</v>
      </c>
      <c r="R40" s="5">
        <v>0</v>
      </c>
      <c r="S40" s="30">
        <v>0</v>
      </c>
      <c r="T40" s="30">
        <v>0</v>
      </c>
      <c r="U40" s="30">
        <v>0</v>
      </c>
      <c r="V40" s="30">
        <v>0</v>
      </c>
      <c r="W40" s="45">
        <v>0</v>
      </c>
      <c r="X40" s="5">
        <v>0</v>
      </c>
      <c r="Y40" s="30">
        <v>0</v>
      </c>
      <c r="Z40" s="50">
        <f>SUM(C40:Y40)</f>
        <v>37.950000000000003</v>
      </c>
    </row>
    <row r="41" spans="1:26" x14ac:dyDescent="0.2">
      <c r="A41" s="4" t="s">
        <v>79</v>
      </c>
      <c r="B41" s="4" t="s">
        <v>189</v>
      </c>
      <c r="C41" s="5">
        <v>0</v>
      </c>
      <c r="D41" s="5">
        <v>0</v>
      </c>
      <c r="E41" s="5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9">
        <v>0</v>
      </c>
      <c r="M41" s="10">
        <v>18.2</v>
      </c>
      <c r="N41" s="29">
        <v>0</v>
      </c>
      <c r="O41" s="30">
        <f>260*0.02</f>
        <v>5.2</v>
      </c>
      <c r="P41" s="30">
        <v>0</v>
      </c>
      <c r="Q41" s="30">
        <v>0</v>
      </c>
      <c r="R41" s="5">
        <f>270*0.05</f>
        <v>13.5</v>
      </c>
      <c r="S41" s="30">
        <v>0</v>
      </c>
      <c r="T41" s="30">
        <v>0</v>
      </c>
      <c r="U41" s="30">
        <v>0</v>
      </c>
      <c r="V41" s="30">
        <v>0</v>
      </c>
      <c r="W41" s="45">
        <v>0</v>
      </c>
      <c r="X41" s="5">
        <v>0</v>
      </c>
      <c r="Y41" s="30">
        <v>0</v>
      </c>
      <c r="Z41" s="50">
        <f>SUM(C41:Y41)</f>
        <v>36.9</v>
      </c>
    </row>
    <row r="42" spans="1:26" x14ac:dyDescent="0.2">
      <c r="A42" s="4" t="s">
        <v>80</v>
      </c>
      <c r="B42" s="4" t="s">
        <v>132</v>
      </c>
      <c r="C42" s="5">
        <v>0</v>
      </c>
      <c r="D42" s="5">
        <v>0</v>
      </c>
      <c r="E42" s="5">
        <v>0</v>
      </c>
      <c r="F42" s="10">
        <v>0</v>
      </c>
      <c r="G42" s="10">
        <v>0</v>
      </c>
      <c r="H42" s="10">
        <v>11.55</v>
      </c>
      <c r="I42" s="10">
        <v>0</v>
      </c>
      <c r="J42" s="10">
        <f>300*0.03</f>
        <v>9</v>
      </c>
      <c r="K42" s="10">
        <v>7</v>
      </c>
      <c r="L42" s="10">
        <v>0</v>
      </c>
      <c r="M42" s="10">
        <v>9.1</v>
      </c>
      <c r="N42" s="29">
        <v>0</v>
      </c>
      <c r="O42" s="30">
        <v>0</v>
      </c>
      <c r="P42" s="30">
        <v>0</v>
      </c>
      <c r="Q42" s="30">
        <v>0</v>
      </c>
      <c r="R42" s="5">
        <v>0</v>
      </c>
      <c r="S42" s="30">
        <v>0</v>
      </c>
      <c r="T42" s="30">
        <v>0</v>
      </c>
      <c r="U42" s="30">
        <v>0</v>
      </c>
      <c r="V42" s="30">
        <v>0</v>
      </c>
      <c r="W42" s="45">
        <v>0</v>
      </c>
      <c r="X42" s="5">
        <v>0</v>
      </c>
      <c r="Y42" s="30">
        <v>0</v>
      </c>
      <c r="Z42" s="50">
        <f>SUM(C42:Y42)</f>
        <v>36.65</v>
      </c>
    </row>
    <row r="43" spans="1:26" x14ac:dyDescent="0.2">
      <c r="A43" s="4" t="s">
        <v>82</v>
      </c>
      <c r="B43" s="6" t="s">
        <v>65</v>
      </c>
      <c r="C43" s="7">
        <v>0</v>
      </c>
      <c r="D43" s="7">
        <v>0</v>
      </c>
      <c r="E43" s="7">
        <f>390*0.09</f>
        <v>35.1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29">
        <v>0</v>
      </c>
      <c r="O43" s="30">
        <v>0</v>
      </c>
      <c r="P43" s="30">
        <v>0</v>
      </c>
      <c r="Q43" s="30">
        <v>0</v>
      </c>
      <c r="R43" s="5">
        <v>0</v>
      </c>
      <c r="S43" s="30">
        <v>0</v>
      </c>
      <c r="T43" s="30">
        <v>0</v>
      </c>
      <c r="U43" s="30">
        <v>0</v>
      </c>
      <c r="V43" s="30">
        <v>0</v>
      </c>
      <c r="W43" s="45">
        <v>0</v>
      </c>
      <c r="X43" s="5">
        <v>0</v>
      </c>
      <c r="Y43" s="30">
        <v>0</v>
      </c>
      <c r="Z43" s="50">
        <f>SUM(C43:Y43)</f>
        <v>35.1</v>
      </c>
    </row>
    <row r="44" spans="1:26" x14ac:dyDescent="0.2">
      <c r="A44" s="4" t="s">
        <v>83</v>
      </c>
      <c r="B44" s="4" t="s">
        <v>121</v>
      </c>
      <c r="C44" s="5">
        <v>0</v>
      </c>
      <c r="D44" s="5">
        <v>0</v>
      </c>
      <c r="E44" s="5">
        <v>0</v>
      </c>
      <c r="F44" s="10">
        <v>0</v>
      </c>
      <c r="G44" s="10">
        <v>21</v>
      </c>
      <c r="H44" s="10">
        <v>13.2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29">
        <v>0</v>
      </c>
      <c r="O44" s="30">
        <v>0</v>
      </c>
      <c r="P44" s="30">
        <v>0</v>
      </c>
      <c r="Q44" s="30">
        <v>0</v>
      </c>
      <c r="R44" s="5">
        <v>0</v>
      </c>
      <c r="S44" s="30">
        <v>0</v>
      </c>
      <c r="T44" s="30">
        <v>0</v>
      </c>
      <c r="U44" s="30">
        <v>0</v>
      </c>
      <c r="V44" s="30">
        <v>0</v>
      </c>
      <c r="W44" s="45">
        <v>0</v>
      </c>
      <c r="X44" s="5">
        <v>0</v>
      </c>
      <c r="Y44" s="30">
        <v>0</v>
      </c>
      <c r="Z44" s="50">
        <f>SUM(C44:Y44)</f>
        <v>34.200000000000003</v>
      </c>
    </row>
    <row r="45" spans="1:26" x14ac:dyDescent="0.2">
      <c r="A45" s="4" t="s">
        <v>84</v>
      </c>
      <c r="B45" s="4" t="s">
        <v>177</v>
      </c>
      <c r="C45" s="5">
        <v>0</v>
      </c>
      <c r="D45" s="5">
        <v>0</v>
      </c>
      <c r="E45" s="5">
        <v>0</v>
      </c>
      <c r="F45" s="10">
        <v>0</v>
      </c>
      <c r="G45" s="10">
        <v>0</v>
      </c>
      <c r="H45" s="10">
        <v>0</v>
      </c>
      <c r="I45" s="10">
        <v>0</v>
      </c>
      <c r="J45" s="10">
        <f>300*0.01</f>
        <v>3</v>
      </c>
      <c r="K45" s="10">
        <v>0</v>
      </c>
      <c r="L45" s="9">
        <v>0</v>
      </c>
      <c r="M45" s="9">
        <v>0</v>
      </c>
      <c r="N45" s="29">
        <v>0</v>
      </c>
      <c r="O45" s="30">
        <v>0</v>
      </c>
      <c r="P45" s="30">
        <v>0</v>
      </c>
      <c r="Q45" s="30">
        <f>310*0.1</f>
        <v>31</v>
      </c>
      <c r="R45" s="5">
        <v>0</v>
      </c>
      <c r="S45" s="30">
        <v>0</v>
      </c>
      <c r="T45" s="30">
        <v>0</v>
      </c>
      <c r="U45" s="30">
        <v>0</v>
      </c>
      <c r="V45" s="30">
        <v>0</v>
      </c>
      <c r="W45" s="45">
        <v>0</v>
      </c>
      <c r="X45" s="5">
        <v>0</v>
      </c>
      <c r="Y45" s="30">
        <v>0</v>
      </c>
      <c r="Z45" s="50">
        <f>SUM(C45:Y45)</f>
        <v>34</v>
      </c>
    </row>
    <row r="46" spans="1:26" x14ac:dyDescent="0.2">
      <c r="A46" s="4" t="s">
        <v>85</v>
      </c>
      <c r="B46" s="6" t="s">
        <v>74</v>
      </c>
      <c r="C46" s="7">
        <v>0</v>
      </c>
      <c r="D46" s="7">
        <v>0</v>
      </c>
      <c r="E46" s="7">
        <f>390*0.07</f>
        <v>27.300000000000004</v>
      </c>
      <c r="F46" s="9">
        <v>0</v>
      </c>
      <c r="G46" s="9">
        <v>0</v>
      </c>
      <c r="H46" s="9">
        <v>6.6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29">
        <v>0</v>
      </c>
      <c r="O46" s="30">
        <v>0</v>
      </c>
      <c r="P46" s="30">
        <v>0</v>
      </c>
      <c r="Q46" s="30">
        <v>0</v>
      </c>
      <c r="R46" s="5">
        <v>0</v>
      </c>
      <c r="S46" s="30">
        <v>0</v>
      </c>
      <c r="T46" s="30">
        <v>0</v>
      </c>
      <c r="U46" s="30">
        <v>0</v>
      </c>
      <c r="V46" s="30">
        <v>0</v>
      </c>
      <c r="W46" s="45">
        <v>0</v>
      </c>
      <c r="X46" s="5">
        <v>0</v>
      </c>
      <c r="Y46" s="30">
        <v>0</v>
      </c>
      <c r="Z46" s="50">
        <f>SUM(C46:Y46)</f>
        <v>33.900000000000006</v>
      </c>
    </row>
    <row r="47" spans="1:26" x14ac:dyDescent="0.2">
      <c r="A47" s="4" t="s">
        <v>86</v>
      </c>
      <c r="B47" s="4" t="s">
        <v>211</v>
      </c>
      <c r="C47" s="5">
        <v>0</v>
      </c>
      <c r="D47" s="5">
        <v>0</v>
      </c>
      <c r="E47" s="5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9">
        <v>0</v>
      </c>
      <c r="M47" s="10">
        <v>0</v>
      </c>
      <c r="N47" s="29">
        <v>0</v>
      </c>
      <c r="O47" s="30">
        <v>0</v>
      </c>
      <c r="P47" s="30">
        <v>0</v>
      </c>
      <c r="Q47" s="30">
        <v>0</v>
      </c>
      <c r="R47" s="5">
        <v>0</v>
      </c>
      <c r="S47" s="30">
        <f>170*0.1</f>
        <v>17</v>
      </c>
      <c r="T47" s="30">
        <v>0</v>
      </c>
      <c r="U47" s="30">
        <v>0</v>
      </c>
      <c r="V47" s="30">
        <v>10.8</v>
      </c>
      <c r="W47" s="45">
        <v>0</v>
      </c>
      <c r="X47" s="5">
        <f>280*0.02</f>
        <v>5.6000000000000005</v>
      </c>
      <c r="Y47" s="30">
        <v>0</v>
      </c>
      <c r="Z47" s="50">
        <f>SUM(C47:Y47)</f>
        <v>33.4</v>
      </c>
    </row>
    <row r="48" spans="1:26" x14ac:dyDescent="0.2">
      <c r="A48" s="4" t="s">
        <v>148</v>
      </c>
      <c r="B48" s="6" t="s">
        <v>73</v>
      </c>
      <c r="C48" s="7">
        <v>0</v>
      </c>
      <c r="D48" s="7">
        <v>0</v>
      </c>
      <c r="E48" s="7">
        <f>390*0.085</f>
        <v>33.150000000000006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29">
        <v>0</v>
      </c>
      <c r="O48" s="30">
        <v>0</v>
      </c>
      <c r="P48" s="30">
        <v>0</v>
      </c>
      <c r="Q48" s="30">
        <v>0</v>
      </c>
      <c r="R48" s="5">
        <v>0</v>
      </c>
      <c r="S48" s="30">
        <v>0</v>
      </c>
      <c r="T48" s="30">
        <v>0</v>
      </c>
      <c r="U48" s="30">
        <v>0</v>
      </c>
      <c r="V48" s="30">
        <v>0</v>
      </c>
      <c r="W48" s="45">
        <v>0</v>
      </c>
      <c r="X48" s="5">
        <v>0</v>
      </c>
      <c r="Y48" s="30">
        <v>0</v>
      </c>
      <c r="Z48" s="50">
        <f>SUM(C48:Y48)</f>
        <v>33.150000000000006</v>
      </c>
    </row>
    <row r="49" spans="1:26" x14ac:dyDescent="0.2">
      <c r="A49" s="4" t="s">
        <v>93</v>
      </c>
      <c r="B49" s="4" t="s">
        <v>128</v>
      </c>
      <c r="C49" s="5">
        <v>0</v>
      </c>
      <c r="D49" s="5">
        <v>0</v>
      </c>
      <c r="E49" s="5">
        <v>0</v>
      </c>
      <c r="F49" s="10">
        <v>0</v>
      </c>
      <c r="G49" s="10">
        <v>0</v>
      </c>
      <c r="H49" s="10">
        <v>33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29">
        <v>0</v>
      </c>
      <c r="O49" s="30">
        <v>0</v>
      </c>
      <c r="P49" s="30">
        <v>0</v>
      </c>
      <c r="Q49" s="30">
        <v>0</v>
      </c>
      <c r="R49" s="5">
        <v>0</v>
      </c>
      <c r="S49" s="30">
        <v>0</v>
      </c>
      <c r="T49" s="30">
        <v>0</v>
      </c>
      <c r="U49" s="30">
        <v>0</v>
      </c>
      <c r="V49" s="30">
        <v>0</v>
      </c>
      <c r="W49" s="45">
        <v>0</v>
      </c>
      <c r="X49" s="5">
        <v>0</v>
      </c>
      <c r="Y49" s="30">
        <v>0</v>
      </c>
      <c r="Z49" s="50">
        <f>SUM(C49:Y49)</f>
        <v>33</v>
      </c>
    </row>
    <row r="50" spans="1:26" x14ac:dyDescent="0.2">
      <c r="A50" s="4" t="s">
        <v>94</v>
      </c>
      <c r="B50" s="4" t="s">
        <v>255</v>
      </c>
      <c r="C50" s="5">
        <v>0</v>
      </c>
      <c r="D50" s="5">
        <v>0</v>
      </c>
      <c r="E50" s="5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9">
        <v>0</v>
      </c>
      <c r="M50" s="9">
        <v>0</v>
      </c>
      <c r="N50" s="38">
        <v>0</v>
      </c>
      <c r="O50" s="39">
        <v>0</v>
      </c>
      <c r="P50" s="39">
        <v>0</v>
      </c>
      <c r="Q50" s="39">
        <v>0</v>
      </c>
      <c r="R50" s="7">
        <v>0</v>
      </c>
      <c r="S50" s="39">
        <v>0</v>
      </c>
      <c r="T50" s="39">
        <v>0</v>
      </c>
      <c r="U50" s="39">
        <v>0</v>
      </c>
      <c r="V50" s="30">
        <v>13.5</v>
      </c>
      <c r="W50" s="45">
        <f>270*0.07</f>
        <v>18.900000000000002</v>
      </c>
      <c r="X50" s="5">
        <v>0</v>
      </c>
      <c r="Y50" s="30">
        <v>0</v>
      </c>
      <c r="Z50" s="50">
        <f>SUM(C50:Y50)</f>
        <v>32.400000000000006</v>
      </c>
    </row>
    <row r="51" spans="1:26" x14ac:dyDescent="0.2">
      <c r="A51" s="4" t="s">
        <v>95</v>
      </c>
      <c r="B51" s="4" t="s">
        <v>251</v>
      </c>
      <c r="C51" s="5">
        <v>0</v>
      </c>
      <c r="D51" s="5">
        <v>0</v>
      </c>
      <c r="E51" s="5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9">
        <v>0</v>
      </c>
      <c r="M51" s="9">
        <v>0</v>
      </c>
      <c r="N51" s="38">
        <v>0</v>
      </c>
      <c r="O51" s="39">
        <v>0</v>
      </c>
      <c r="P51" s="39">
        <v>0</v>
      </c>
      <c r="Q51" s="39">
        <v>0</v>
      </c>
      <c r="R51" s="7">
        <v>0</v>
      </c>
      <c r="S51" s="39">
        <v>0</v>
      </c>
      <c r="T51" s="39">
        <v>0</v>
      </c>
      <c r="U51" s="39">
        <v>0</v>
      </c>
      <c r="V51" s="30">
        <v>20.25</v>
      </c>
      <c r="W51" s="45">
        <v>0</v>
      </c>
      <c r="X51" s="5">
        <f>280*0.035</f>
        <v>9.8000000000000007</v>
      </c>
      <c r="Y51" s="30">
        <v>0</v>
      </c>
      <c r="Z51" s="50">
        <f>SUM(C51:Y51)</f>
        <v>30.05</v>
      </c>
    </row>
    <row r="52" spans="1:26" x14ac:dyDescent="0.2">
      <c r="A52" s="4" t="s">
        <v>96</v>
      </c>
      <c r="B52" s="4" t="s">
        <v>222</v>
      </c>
      <c r="C52" s="5">
        <v>0</v>
      </c>
      <c r="D52" s="5">
        <v>0</v>
      </c>
      <c r="E52" s="5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9">
        <v>0</v>
      </c>
      <c r="M52" s="10">
        <v>0</v>
      </c>
      <c r="N52" s="29">
        <v>0</v>
      </c>
      <c r="O52" s="30">
        <v>0</v>
      </c>
      <c r="P52" s="30">
        <f>300*0.02</f>
        <v>6</v>
      </c>
      <c r="Q52" s="30">
        <v>0</v>
      </c>
      <c r="R52" s="5">
        <v>0</v>
      </c>
      <c r="S52" s="30">
        <v>0</v>
      </c>
      <c r="T52" s="30">
        <v>0</v>
      </c>
      <c r="U52" s="30">
        <v>24</v>
      </c>
      <c r="V52" s="30">
        <v>0</v>
      </c>
      <c r="W52" s="45">
        <v>0</v>
      </c>
      <c r="X52" s="5">
        <v>0</v>
      </c>
      <c r="Y52" s="30">
        <v>0</v>
      </c>
      <c r="Z52" s="50">
        <f>SUM(C52:Y52)</f>
        <v>30</v>
      </c>
    </row>
    <row r="53" spans="1:26" x14ac:dyDescent="0.2">
      <c r="A53" s="4" t="s">
        <v>97</v>
      </c>
      <c r="B53" s="4" t="s">
        <v>212</v>
      </c>
      <c r="C53" s="5">
        <v>0</v>
      </c>
      <c r="D53" s="5">
        <v>0</v>
      </c>
      <c r="E53" s="5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9">
        <v>0</v>
      </c>
      <c r="M53" s="10">
        <v>0</v>
      </c>
      <c r="N53" s="29">
        <v>0</v>
      </c>
      <c r="O53" s="30">
        <v>0</v>
      </c>
      <c r="P53" s="30">
        <v>0</v>
      </c>
      <c r="Q53" s="30">
        <v>0</v>
      </c>
      <c r="R53" s="5">
        <v>0</v>
      </c>
      <c r="S53" s="30">
        <f>170*0.06</f>
        <v>10.199999999999999</v>
      </c>
      <c r="T53" s="30">
        <v>0</v>
      </c>
      <c r="U53" s="30">
        <v>16.8</v>
      </c>
      <c r="V53" s="30">
        <v>0</v>
      </c>
      <c r="W53" s="45">
        <v>0</v>
      </c>
      <c r="X53" s="5">
        <v>0</v>
      </c>
      <c r="Y53" s="30">
        <v>0</v>
      </c>
      <c r="Z53" s="50">
        <f>SUM(C53:Y53)</f>
        <v>27</v>
      </c>
    </row>
    <row r="54" spans="1:26" x14ac:dyDescent="0.2">
      <c r="A54" s="4" t="s">
        <v>98</v>
      </c>
      <c r="B54" s="6" t="s">
        <v>125</v>
      </c>
      <c r="C54" s="7">
        <v>0</v>
      </c>
      <c r="D54" s="7">
        <v>0</v>
      </c>
      <c r="E54" s="7">
        <f>390*0.06</f>
        <v>23.4</v>
      </c>
      <c r="F54" s="9">
        <v>0</v>
      </c>
      <c r="G54" s="9">
        <v>3.5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29">
        <v>0</v>
      </c>
      <c r="O54" s="30">
        <v>0</v>
      </c>
      <c r="P54" s="30">
        <v>0</v>
      </c>
      <c r="Q54" s="30">
        <v>0</v>
      </c>
      <c r="R54" s="5">
        <v>0</v>
      </c>
      <c r="S54" s="30">
        <v>0</v>
      </c>
      <c r="T54" s="30">
        <v>0</v>
      </c>
      <c r="U54" s="30">
        <v>0</v>
      </c>
      <c r="V54" s="30">
        <v>0</v>
      </c>
      <c r="W54" s="45">
        <v>0</v>
      </c>
      <c r="X54" s="5">
        <v>0</v>
      </c>
      <c r="Y54" s="30">
        <v>0</v>
      </c>
      <c r="Z54" s="50">
        <f>SUM(C54:Y54)</f>
        <v>26.9</v>
      </c>
    </row>
    <row r="55" spans="1:26" x14ac:dyDescent="0.2">
      <c r="A55" s="4" t="s">
        <v>100</v>
      </c>
      <c r="B55" s="6" t="s">
        <v>75</v>
      </c>
      <c r="C55" s="7">
        <v>0</v>
      </c>
      <c r="D55" s="7">
        <v>0</v>
      </c>
      <c r="E55" s="7">
        <f>390*0.065</f>
        <v>25.35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29">
        <v>0</v>
      </c>
      <c r="O55" s="30">
        <v>0</v>
      </c>
      <c r="P55" s="30">
        <v>0</v>
      </c>
      <c r="Q55" s="30">
        <v>0</v>
      </c>
      <c r="R55" s="5">
        <v>0</v>
      </c>
      <c r="S55" s="30">
        <v>0</v>
      </c>
      <c r="T55" s="30">
        <v>0</v>
      </c>
      <c r="U55" s="30">
        <v>0</v>
      </c>
      <c r="V55" s="30">
        <v>0</v>
      </c>
      <c r="W55" s="45">
        <v>0</v>
      </c>
      <c r="X55" s="5">
        <v>0</v>
      </c>
      <c r="Y55" s="30">
        <v>0</v>
      </c>
      <c r="Z55" s="50">
        <f>SUM(C55:Y55)</f>
        <v>25.35</v>
      </c>
    </row>
    <row r="56" spans="1:26" x14ac:dyDescent="0.2">
      <c r="A56" s="4" t="s">
        <v>101</v>
      </c>
      <c r="B56" s="4" t="s">
        <v>186</v>
      </c>
      <c r="C56" s="5">
        <v>0</v>
      </c>
      <c r="D56" s="5">
        <v>0</v>
      </c>
      <c r="E56" s="5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f>280*0.09</f>
        <v>25.2</v>
      </c>
      <c r="M56" s="10">
        <v>0</v>
      </c>
      <c r="N56" s="29">
        <v>0</v>
      </c>
      <c r="O56" s="30">
        <v>0</v>
      </c>
      <c r="P56" s="30">
        <v>0</v>
      </c>
      <c r="Q56" s="30">
        <v>0</v>
      </c>
      <c r="R56" s="5">
        <v>0</v>
      </c>
      <c r="S56" s="30">
        <v>0</v>
      </c>
      <c r="T56" s="30">
        <v>0</v>
      </c>
      <c r="U56" s="30">
        <v>0</v>
      </c>
      <c r="V56" s="30">
        <v>0</v>
      </c>
      <c r="W56" s="45">
        <v>0</v>
      </c>
      <c r="X56" s="5">
        <v>0</v>
      </c>
      <c r="Y56" s="5">
        <v>0</v>
      </c>
      <c r="Z56" s="50">
        <f>SUM(C56:Y56)</f>
        <v>25.2</v>
      </c>
    </row>
    <row r="57" spans="1:26" x14ac:dyDescent="0.2">
      <c r="A57" s="4" t="s">
        <v>102</v>
      </c>
      <c r="B57" s="4" t="s">
        <v>276</v>
      </c>
      <c r="C57" s="5">
        <v>0</v>
      </c>
      <c r="D57" s="5">
        <v>0</v>
      </c>
      <c r="E57" s="5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9">
        <v>0</v>
      </c>
      <c r="M57" s="9">
        <v>0</v>
      </c>
      <c r="N57" s="38">
        <v>0</v>
      </c>
      <c r="O57" s="39">
        <v>0</v>
      </c>
      <c r="P57" s="39">
        <v>0</v>
      </c>
      <c r="Q57" s="39">
        <v>0</v>
      </c>
      <c r="R57" s="7">
        <v>0</v>
      </c>
      <c r="S57" s="39">
        <v>0</v>
      </c>
      <c r="T57" s="39">
        <v>0</v>
      </c>
      <c r="U57" s="39">
        <v>0</v>
      </c>
      <c r="V57" s="39">
        <v>0</v>
      </c>
      <c r="W57" s="45">
        <v>0</v>
      </c>
      <c r="X57" s="5">
        <v>0</v>
      </c>
      <c r="Y57" s="5">
        <f>270*0.09</f>
        <v>24.3</v>
      </c>
      <c r="Z57" s="50">
        <f>SUM(C57:Y57)</f>
        <v>24.3</v>
      </c>
    </row>
    <row r="58" spans="1:26" x14ac:dyDescent="0.2">
      <c r="A58" s="4" t="s">
        <v>103</v>
      </c>
      <c r="B58" s="4" t="s">
        <v>272</v>
      </c>
      <c r="C58" s="5">
        <v>0</v>
      </c>
      <c r="D58" s="5">
        <v>0</v>
      </c>
      <c r="E58" s="5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9">
        <v>0</v>
      </c>
      <c r="M58" s="9">
        <v>0</v>
      </c>
      <c r="N58" s="38">
        <v>0</v>
      </c>
      <c r="O58" s="39">
        <v>0</v>
      </c>
      <c r="P58" s="39">
        <v>0</v>
      </c>
      <c r="Q58" s="39">
        <v>0</v>
      </c>
      <c r="R58" s="7">
        <v>0</v>
      </c>
      <c r="S58" s="39">
        <v>0</v>
      </c>
      <c r="T58" s="39">
        <v>0</v>
      </c>
      <c r="U58" s="39">
        <v>0</v>
      </c>
      <c r="V58" s="39">
        <v>0</v>
      </c>
      <c r="W58" s="45">
        <v>0</v>
      </c>
      <c r="X58" s="5">
        <f>280*0.03</f>
        <v>8.4</v>
      </c>
      <c r="Y58" s="5">
        <f>270*0.055</f>
        <v>14.85</v>
      </c>
      <c r="Z58" s="50">
        <f>SUM(C58:Y58)</f>
        <v>23.25</v>
      </c>
    </row>
    <row r="59" spans="1:26" x14ac:dyDescent="0.2">
      <c r="A59" s="4" t="s">
        <v>104</v>
      </c>
      <c r="B59" s="4" t="s">
        <v>205</v>
      </c>
      <c r="C59" s="5">
        <v>0</v>
      </c>
      <c r="D59" s="5">
        <v>0</v>
      </c>
      <c r="E59" s="5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9">
        <v>0</v>
      </c>
      <c r="M59" s="10">
        <v>0</v>
      </c>
      <c r="N59" s="29">
        <v>0</v>
      </c>
      <c r="O59" s="30">
        <v>0</v>
      </c>
      <c r="P59" s="30">
        <v>0</v>
      </c>
      <c r="Q59" s="30">
        <f>310*0.04</f>
        <v>12.4</v>
      </c>
      <c r="R59" s="5">
        <f>270*0.035</f>
        <v>9.4500000000000011</v>
      </c>
      <c r="S59" s="5">
        <v>0</v>
      </c>
      <c r="T59" s="30">
        <v>0</v>
      </c>
      <c r="U59" s="30">
        <v>0</v>
      </c>
      <c r="V59" s="30">
        <v>0</v>
      </c>
      <c r="W59" s="45">
        <v>0</v>
      </c>
      <c r="X59" s="5">
        <v>0</v>
      </c>
      <c r="Y59" s="5">
        <v>0</v>
      </c>
      <c r="Z59" s="50">
        <f>SUM(C59:Y59)</f>
        <v>21.85</v>
      </c>
    </row>
    <row r="60" spans="1:26" x14ac:dyDescent="0.2">
      <c r="A60" s="4" t="s">
        <v>105</v>
      </c>
      <c r="B60" s="4" t="s">
        <v>277</v>
      </c>
      <c r="C60" s="5">
        <v>0</v>
      </c>
      <c r="D60" s="5">
        <v>0</v>
      </c>
      <c r="E60" s="5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9">
        <v>0</v>
      </c>
      <c r="M60" s="9">
        <v>0</v>
      </c>
      <c r="N60" s="38">
        <v>0</v>
      </c>
      <c r="O60" s="39">
        <v>0</v>
      </c>
      <c r="P60" s="39">
        <v>0</v>
      </c>
      <c r="Q60" s="39">
        <v>0</v>
      </c>
      <c r="R60" s="7">
        <v>0</v>
      </c>
      <c r="S60" s="7">
        <v>0</v>
      </c>
      <c r="T60" s="39">
        <v>0</v>
      </c>
      <c r="U60" s="39">
        <v>0</v>
      </c>
      <c r="V60" s="39">
        <v>0</v>
      </c>
      <c r="W60" s="45">
        <v>0</v>
      </c>
      <c r="X60" s="5">
        <v>0</v>
      </c>
      <c r="Y60" s="5">
        <f>270*0.08</f>
        <v>21.6</v>
      </c>
      <c r="Z60" s="50">
        <f>SUM(C60:Y60)</f>
        <v>21.6</v>
      </c>
    </row>
    <row r="61" spans="1:26" x14ac:dyDescent="0.2">
      <c r="A61" s="4" t="s">
        <v>106</v>
      </c>
      <c r="B61" s="4" t="s">
        <v>182</v>
      </c>
      <c r="C61" s="5">
        <v>0</v>
      </c>
      <c r="D61" s="5">
        <v>0</v>
      </c>
      <c r="E61" s="5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21</v>
      </c>
      <c r="L61" s="10">
        <v>0</v>
      </c>
      <c r="M61" s="10">
        <v>0</v>
      </c>
      <c r="N61" s="29">
        <v>0</v>
      </c>
      <c r="O61" s="30">
        <v>0</v>
      </c>
      <c r="P61" s="30">
        <v>0</v>
      </c>
      <c r="Q61" s="30">
        <v>0</v>
      </c>
      <c r="R61" s="5">
        <v>0</v>
      </c>
      <c r="S61" s="5">
        <v>0</v>
      </c>
      <c r="T61" s="30">
        <v>0</v>
      </c>
      <c r="U61" s="30">
        <v>0</v>
      </c>
      <c r="V61" s="30">
        <v>0</v>
      </c>
      <c r="W61" s="45">
        <v>0</v>
      </c>
      <c r="X61" s="5">
        <v>0</v>
      </c>
      <c r="Y61" s="5">
        <v>0</v>
      </c>
      <c r="Z61" s="50">
        <f>SUM(C61:Y61)</f>
        <v>21</v>
      </c>
    </row>
    <row r="62" spans="1:26" x14ac:dyDescent="0.2">
      <c r="A62" s="4" t="s">
        <v>107</v>
      </c>
      <c r="B62" s="4" t="s">
        <v>264</v>
      </c>
      <c r="C62" s="5">
        <v>0</v>
      </c>
      <c r="D62" s="5">
        <v>0</v>
      </c>
      <c r="E62" s="5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9">
        <v>0</v>
      </c>
      <c r="M62" s="9">
        <v>0</v>
      </c>
      <c r="N62" s="38">
        <v>0</v>
      </c>
      <c r="O62" s="39">
        <v>0</v>
      </c>
      <c r="P62" s="39">
        <v>0</v>
      </c>
      <c r="Q62" s="39">
        <v>0</v>
      </c>
      <c r="R62" s="7">
        <v>0</v>
      </c>
      <c r="S62" s="7">
        <v>0</v>
      </c>
      <c r="T62" s="39">
        <v>0</v>
      </c>
      <c r="U62" s="39">
        <v>0</v>
      </c>
      <c r="V62" s="39">
        <v>0</v>
      </c>
      <c r="W62" s="45">
        <v>0</v>
      </c>
      <c r="X62" s="5">
        <f>280*0.075</f>
        <v>21</v>
      </c>
      <c r="Y62" s="5">
        <v>0</v>
      </c>
      <c r="Z62" s="50">
        <f>SUM(C62:Y62)</f>
        <v>21</v>
      </c>
    </row>
    <row r="63" spans="1:26" x14ac:dyDescent="0.2">
      <c r="A63" s="4" t="s">
        <v>108</v>
      </c>
      <c r="B63" s="4" t="s">
        <v>117</v>
      </c>
      <c r="C63" s="5">
        <v>0</v>
      </c>
      <c r="D63" s="5">
        <v>0</v>
      </c>
      <c r="E63" s="5">
        <v>0</v>
      </c>
      <c r="F63" s="10">
        <f>320*0.065</f>
        <v>20.8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29">
        <v>0</v>
      </c>
      <c r="O63" s="30">
        <v>0</v>
      </c>
      <c r="P63" s="30">
        <v>0</v>
      </c>
      <c r="Q63" s="30">
        <v>0</v>
      </c>
      <c r="R63" s="5">
        <v>0</v>
      </c>
      <c r="S63" s="5">
        <v>0</v>
      </c>
      <c r="T63" s="30">
        <v>0</v>
      </c>
      <c r="U63" s="30">
        <v>0</v>
      </c>
      <c r="V63" s="30">
        <v>0</v>
      </c>
      <c r="W63" s="45">
        <v>0</v>
      </c>
      <c r="X63" s="5">
        <v>0</v>
      </c>
      <c r="Y63" s="5">
        <v>0</v>
      </c>
      <c r="Z63" s="50">
        <f>SUM(C63:Y63)</f>
        <v>20.8</v>
      </c>
    </row>
    <row r="64" spans="1:26" x14ac:dyDescent="0.2">
      <c r="A64" s="4" t="s">
        <v>109</v>
      </c>
      <c r="B64" s="6" t="s">
        <v>58</v>
      </c>
      <c r="C64" s="7">
        <v>0</v>
      </c>
      <c r="D64" s="7">
        <v>19.600000000000001</v>
      </c>
      <c r="E64" s="7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29">
        <v>0</v>
      </c>
      <c r="O64" s="30">
        <v>0</v>
      </c>
      <c r="P64" s="30">
        <v>0</v>
      </c>
      <c r="Q64" s="30">
        <v>0</v>
      </c>
      <c r="R64" s="5">
        <v>0</v>
      </c>
      <c r="S64" s="5">
        <v>0</v>
      </c>
      <c r="T64" s="30">
        <v>0</v>
      </c>
      <c r="U64" s="30">
        <v>0</v>
      </c>
      <c r="V64" s="30">
        <v>0</v>
      </c>
      <c r="W64" s="45">
        <v>0</v>
      </c>
      <c r="X64" s="5">
        <v>0</v>
      </c>
      <c r="Y64" s="5">
        <v>0</v>
      </c>
      <c r="Z64" s="50">
        <f>SUM(C64:Y64)</f>
        <v>19.600000000000001</v>
      </c>
    </row>
    <row r="65" spans="1:26" x14ac:dyDescent="0.2">
      <c r="A65" s="4" t="s">
        <v>110</v>
      </c>
      <c r="B65" s="6" t="s">
        <v>77</v>
      </c>
      <c r="C65" s="7">
        <v>0</v>
      </c>
      <c r="D65" s="7">
        <v>0</v>
      </c>
      <c r="E65" s="7">
        <f>390*0.05</f>
        <v>19.5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29">
        <v>0</v>
      </c>
      <c r="O65" s="30">
        <v>0</v>
      </c>
      <c r="P65" s="30">
        <v>0</v>
      </c>
      <c r="Q65" s="30">
        <v>0</v>
      </c>
      <c r="R65" s="5">
        <v>0</v>
      </c>
      <c r="S65" s="5">
        <v>0</v>
      </c>
      <c r="T65" s="30">
        <v>0</v>
      </c>
      <c r="U65" s="30">
        <v>0</v>
      </c>
      <c r="V65" s="30">
        <v>0</v>
      </c>
      <c r="W65" s="45">
        <v>0</v>
      </c>
      <c r="X65" s="5">
        <v>0</v>
      </c>
      <c r="Y65" s="5">
        <v>0</v>
      </c>
      <c r="Z65" s="50">
        <f>SUM(C65:Y65)</f>
        <v>19.5</v>
      </c>
    </row>
    <row r="66" spans="1:26" x14ac:dyDescent="0.2">
      <c r="A66" s="4" t="s">
        <v>141</v>
      </c>
      <c r="B66" s="4" t="s">
        <v>116</v>
      </c>
      <c r="C66" s="5">
        <v>0</v>
      </c>
      <c r="D66" s="5">
        <v>0</v>
      </c>
      <c r="E66" s="5">
        <v>0</v>
      </c>
      <c r="F66" s="10">
        <f>320*0.06</f>
        <v>19.2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9">
        <v>0</v>
      </c>
      <c r="M66" s="9">
        <v>0</v>
      </c>
      <c r="N66" s="29">
        <v>0</v>
      </c>
      <c r="O66" s="30">
        <v>0</v>
      </c>
      <c r="P66" s="30">
        <v>0</v>
      </c>
      <c r="Q66" s="30">
        <v>0</v>
      </c>
      <c r="R66" s="5">
        <v>0</v>
      </c>
      <c r="S66" s="5">
        <v>0</v>
      </c>
      <c r="T66" s="30">
        <v>0</v>
      </c>
      <c r="U66" s="30">
        <v>0</v>
      </c>
      <c r="V66" s="30">
        <v>0</v>
      </c>
      <c r="W66" s="45">
        <v>0</v>
      </c>
      <c r="X66" s="5">
        <v>0</v>
      </c>
      <c r="Y66" s="5">
        <v>0</v>
      </c>
      <c r="Z66" s="50">
        <f>SUM(C66:Y66)</f>
        <v>19.2</v>
      </c>
    </row>
    <row r="67" spans="1:26" x14ac:dyDescent="0.2">
      <c r="A67" s="4" t="s">
        <v>142</v>
      </c>
      <c r="B67" s="4" t="s">
        <v>208</v>
      </c>
      <c r="C67" s="5">
        <v>0</v>
      </c>
      <c r="D67" s="5">
        <v>0</v>
      </c>
      <c r="E67" s="5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9">
        <v>0</v>
      </c>
      <c r="M67" s="10">
        <v>0</v>
      </c>
      <c r="N67" s="29">
        <v>0</v>
      </c>
      <c r="O67" s="30">
        <v>0</v>
      </c>
      <c r="P67" s="30">
        <v>0</v>
      </c>
      <c r="Q67" s="30">
        <v>0</v>
      </c>
      <c r="R67" s="5">
        <f>270*0.07</f>
        <v>18.900000000000002</v>
      </c>
      <c r="S67" s="5">
        <v>0</v>
      </c>
      <c r="T67" s="30">
        <v>0</v>
      </c>
      <c r="U67" s="30">
        <v>0</v>
      </c>
      <c r="V67" s="30">
        <v>0</v>
      </c>
      <c r="W67" s="45">
        <v>0</v>
      </c>
      <c r="X67" s="5">
        <v>0</v>
      </c>
      <c r="Y67" s="5">
        <v>0</v>
      </c>
      <c r="Z67" s="50">
        <f>SUM(C67:Y67)</f>
        <v>18.900000000000002</v>
      </c>
    </row>
    <row r="68" spans="1:26" x14ac:dyDescent="0.2">
      <c r="A68" s="4" t="s">
        <v>143</v>
      </c>
      <c r="B68" s="4" t="s">
        <v>252</v>
      </c>
      <c r="C68" s="5">
        <v>0</v>
      </c>
      <c r="D68" s="5">
        <v>0</v>
      </c>
      <c r="E68" s="5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9">
        <v>0</v>
      </c>
      <c r="M68" s="9">
        <v>0</v>
      </c>
      <c r="N68" s="38">
        <v>0</v>
      </c>
      <c r="O68" s="39">
        <v>0</v>
      </c>
      <c r="P68" s="39">
        <v>0</v>
      </c>
      <c r="Q68" s="39">
        <v>0</v>
      </c>
      <c r="R68" s="7">
        <v>0</v>
      </c>
      <c r="S68" s="7">
        <v>0</v>
      </c>
      <c r="T68" s="39">
        <v>0</v>
      </c>
      <c r="U68" s="39">
        <v>0</v>
      </c>
      <c r="V68" s="30">
        <v>18.899999999999999</v>
      </c>
      <c r="W68" s="45">
        <v>0</v>
      </c>
      <c r="X68" s="5">
        <v>0</v>
      </c>
      <c r="Y68" s="5">
        <v>0</v>
      </c>
      <c r="Z68" s="50">
        <f>SUM(C68:Y68)</f>
        <v>18.899999999999999</v>
      </c>
    </row>
    <row r="69" spans="1:26" x14ac:dyDescent="0.2">
      <c r="A69" s="4" t="s">
        <v>144</v>
      </c>
      <c r="B69" s="4" t="s">
        <v>134</v>
      </c>
      <c r="C69" s="5">
        <v>0</v>
      </c>
      <c r="D69" s="5">
        <v>0</v>
      </c>
      <c r="E69" s="5">
        <v>0</v>
      </c>
      <c r="F69" s="10">
        <v>0</v>
      </c>
      <c r="G69" s="10">
        <v>0</v>
      </c>
      <c r="H69" s="10">
        <v>6.6</v>
      </c>
      <c r="I69" s="10">
        <v>11.55</v>
      </c>
      <c r="J69" s="10">
        <v>0</v>
      </c>
      <c r="K69" s="10">
        <v>0</v>
      </c>
      <c r="L69" s="9">
        <v>0</v>
      </c>
      <c r="M69" s="9">
        <v>0</v>
      </c>
      <c r="N69" s="29">
        <v>0</v>
      </c>
      <c r="O69" s="30">
        <v>0</v>
      </c>
      <c r="P69" s="30">
        <v>0</v>
      </c>
      <c r="Q69" s="30">
        <v>0</v>
      </c>
      <c r="R69" s="5">
        <v>0</v>
      </c>
      <c r="S69" s="5">
        <v>0</v>
      </c>
      <c r="T69" s="30">
        <v>0</v>
      </c>
      <c r="U69" s="30">
        <v>0</v>
      </c>
      <c r="V69" s="30">
        <v>0</v>
      </c>
      <c r="W69" s="45">
        <v>0</v>
      </c>
      <c r="X69" s="5">
        <v>0</v>
      </c>
      <c r="Y69" s="5">
        <v>0</v>
      </c>
      <c r="Z69" s="50">
        <f>SUM(C69:Y69)</f>
        <v>18.149999999999999</v>
      </c>
    </row>
    <row r="70" spans="1:26" x14ac:dyDescent="0.2">
      <c r="A70" s="4" t="s">
        <v>145</v>
      </c>
      <c r="B70" s="4" t="s">
        <v>190</v>
      </c>
      <c r="C70" s="5">
        <v>0</v>
      </c>
      <c r="D70" s="5">
        <v>0</v>
      </c>
      <c r="E70" s="5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9">
        <v>0</v>
      </c>
      <c r="M70" s="10">
        <v>16.899999999999999</v>
      </c>
      <c r="N70" s="29">
        <v>0</v>
      </c>
      <c r="O70" s="30">
        <v>0</v>
      </c>
      <c r="P70" s="30">
        <v>0</v>
      </c>
      <c r="Q70" s="30">
        <v>0</v>
      </c>
      <c r="R70" s="5">
        <v>0</v>
      </c>
      <c r="S70" s="5">
        <v>0</v>
      </c>
      <c r="T70" s="30">
        <v>0</v>
      </c>
      <c r="U70" s="30">
        <v>0</v>
      </c>
      <c r="V70" s="30">
        <v>0</v>
      </c>
      <c r="W70" s="45">
        <v>0</v>
      </c>
      <c r="X70" s="5">
        <v>0</v>
      </c>
      <c r="Y70" s="5">
        <v>0</v>
      </c>
      <c r="Z70" s="50">
        <f>SUM(C70:Y70)</f>
        <v>16.899999999999999</v>
      </c>
    </row>
    <row r="71" spans="1:26" x14ac:dyDescent="0.2">
      <c r="A71" s="4" t="s">
        <v>146</v>
      </c>
      <c r="B71" s="4" t="s">
        <v>253</v>
      </c>
      <c r="C71" s="5">
        <v>0</v>
      </c>
      <c r="D71" s="5">
        <v>0</v>
      </c>
      <c r="E71" s="5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9">
        <v>0</v>
      </c>
      <c r="M71" s="9">
        <v>0</v>
      </c>
      <c r="N71" s="38">
        <v>0</v>
      </c>
      <c r="O71" s="39">
        <v>0</v>
      </c>
      <c r="P71" s="39">
        <v>0</v>
      </c>
      <c r="Q71" s="39">
        <v>0</v>
      </c>
      <c r="R71" s="7">
        <v>0</v>
      </c>
      <c r="S71" s="7">
        <v>0</v>
      </c>
      <c r="T71" s="39">
        <v>0</v>
      </c>
      <c r="U71" s="39">
        <v>0</v>
      </c>
      <c r="V71" s="30">
        <v>16.2</v>
      </c>
      <c r="W71" s="45">
        <v>0</v>
      </c>
      <c r="X71" s="5">
        <v>0</v>
      </c>
      <c r="Y71" s="5">
        <v>0</v>
      </c>
      <c r="Z71" s="50">
        <f>SUM(C71:Y71)</f>
        <v>16.2</v>
      </c>
    </row>
    <row r="72" spans="1:26" x14ac:dyDescent="0.2">
      <c r="A72" s="4" t="s">
        <v>147</v>
      </c>
      <c r="B72" s="4" t="s">
        <v>278</v>
      </c>
      <c r="C72" s="5">
        <v>0</v>
      </c>
      <c r="D72" s="5">
        <v>0</v>
      </c>
      <c r="E72" s="5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9">
        <v>0</v>
      </c>
      <c r="M72" s="9">
        <v>0</v>
      </c>
      <c r="N72" s="38">
        <v>0</v>
      </c>
      <c r="O72" s="39">
        <v>0</v>
      </c>
      <c r="P72" s="39">
        <v>0</v>
      </c>
      <c r="Q72" s="39">
        <v>0</v>
      </c>
      <c r="R72" s="7">
        <v>0</v>
      </c>
      <c r="S72" s="7">
        <v>0</v>
      </c>
      <c r="T72" s="39">
        <v>0</v>
      </c>
      <c r="U72" s="39">
        <v>0</v>
      </c>
      <c r="V72" s="39">
        <v>0</v>
      </c>
      <c r="W72" s="45">
        <v>0</v>
      </c>
      <c r="X72" s="5">
        <v>0</v>
      </c>
      <c r="Y72" s="5">
        <f>270*0.06</f>
        <v>16.2</v>
      </c>
      <c r="Z72" s="50">
        <f>SUM(C72:Y72)</f>
        <v>16.2</v>
      </c>
    </row>
    <row r="73" spans="1:26" x14ac:dyDescent="0.2">
      <c r="A73" s="4" t="s">
        <v>149</v>
      </c>
      <c r="B73" s="4" t="s">
        <v>196</v>
      </c>
      <c r="C73" s="5">
        <v>0</v>
      </c>
      <c r="D73" s="5">
        <v>0</v>
      </c>
      <c r="E73" s="5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9">
        <v>0</v>
      </c>
      <c r="M73" s="10">
        <v>0</v>
      </c>
      <c r="N73" s="29">
        <v>0</v>
      </c>
      <c r="O73" s="30">
        <f>260*0.06</f>
        <v>15.6</v>
      </c>
      <c r="P73" s="30">
        <v>0</v>
      </c>
      <c r="Q73" s="30">
        <v>0</v>
      </c>
      <c r="R73" s="5">
        <v>0</v>
      </c>
      <c r="S73" s="5">
        <v>0</v>
      </c>
      <c r="T73" s="30">
        <v>0</v>
      </c>
      <c r="U73" s="30">
        <v>0</v>
      </c>
      <c r="V73" s="30">
        <v>0</v>
      </c>
      <c r="W73" s="45">
        <v>0</v>
      </c>
      <c r="X73" s="5">
        <v>0</v>
      </c>
      <c r="Y73" s="5">
        <v>0</v>
      </c>
      <c r="Z73" s="50">
        <f>SUM(C73:Y73)</f>
        <v>15.6</v>
      </c>
    </row>
    <row r="74" spans="1:26" x14ac:dyDescent="0.2">
      <c r="A74" s="4" t="s">
        <v>150</v>
      </c>
      <c r="B74" s="4" t="s">
        <v>226</v>
      </c>
      <c r="C74" s="5">
        <v>0</v>
      </c>
      <c r="D74" s="5">
        <v>0</v>
      </c>
      <c r="E74" s="5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9">
        <v>0</v>
      </c>
      <c r="M74" s="10">
        <v>0</v>
      </c>
      <c r="N74" s="29">
        <v>0</v>
      </c>
      <c r="O74" s="30">
        <v>0</v>
      </c>
      <c r="P74" s="30">
        <v>0</v>
      </c>
      <c r="Q74" s="30">
        <v>0</v>
      </c>
      <c r="R74" s="5">
        <v>0</v>
      </c>
      <c r="S74" s="5">
        <v>0</v>
      </c>
      <c r="T74" s="30">
        <v>0</v>
      </c>
      <c r="U74" s="30">
        <v>15.6</v>
      </c>
      <c r="V74" s="30">
        <v>0</v>
      </c>
      <c r="W74" s="45">
        <v>0</v>
      </c>
      <c r="X74" s="5">
        <v>0</v>
      </c>
      <c r="Y74" s="5">
        <v>0</v>
      </c>
      <c r="Z74" s="50">
        <f>SUM(C74:Y74)</f>
        <v>15.6</v>
      </c>
    </row>
    <row r="75" spans="1:26" x14ac:dyDescent="0.2">
      <c r="A75" s="4" t="s">
        <v>151</v>
      </c>
      <c r="B75" s="6" t="s">
        <v>27</v>
      </c>
      <c r="C75" s="7">
        <v>15.4</v>
      </c>
      <c r="D75" s="7">
        <v>0</v>
      </c>
      <c r="E75" s="7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29">
        <v>0</v>
      </c>
      <c r="O75" s="30">
        <v>0</v>
      </c>
      <c r="P75" s="30">
        <v>0</v>
      </c>
      <c r="Q75" s="30">
        <v>0</v>
      </c>
      <c r="R75" s="5">
        <v>0</v>
      </c>
      <c r="S75" s="5">
        <v>0</v>
      </c>
      <c r="T75" s="30">
        <v>0</v>
      </c>
      <c r="U75" s="30">
        <v>0</v>
      </c>
      <c r="V75" s="30">
        <v>0</v>
      </c>
      <c r="W75" s="45">
        <v>0</v>
      </c>
      <c r="X75" s="5">
        <v>0</v>
      </c>
      <c r="Y75" s="5">
        <v>0</v>
      </c>
      <c r="Z75" s="50">
        <f>SUM(C75:Y75)</f>
        <v>15.4</v>
      </c>
    </row>
    <row r="76" spans="1:26" x14ac:dyDescent="0.2">
      <c r="A76" s="4" t="s">
        <v>152</v>
      </c>
      <c r="B76" s="4" t="s">
        <v>217</v>
      </c>
      <c r="C76" s="5">
        <v>0</v>
      </c>
      <c r="D76" s="5">
        <v>0</v>
      </c>
      <c r="E76" s="5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9">
        <v>0</v>
      </c>
      <c r="M76" s="10">
        <v>0</v>
      </c>
      <c r="N76" s="29">
        <v>0</v>
      </c>
      <c r="O76" s="30">
        <v>0</v>
      </c>
      <c r="P76" s="30">
        <v>0</v>
      </c>
      <c r="Q76" s="30">
        <v>0</v>
      </c>
      <c r="R76" s="5">
        <v>0</v>
      </c>
      <c r="S76" s="5">
        <f>170*0.02</f>
        <v>3.4</v>
      </c>
      <c r="T76" s="30">
        <f>40*0.085</f>
        <v>3.4000000000000004</v>
      </c>
      <c r="U76" s="30">
        <v>0</v>
      </c>
      <c r="V76" s="30">
        <v>0</v>
      </c>
      <c r="W76" s="45">
        <v>0</v>
      </c>
      <c r="X76" s="5">
        <f>280*0.01</f>
        <v>2.8000000000000003</v>
      </c>
      <c r="Y76" s="5">
        <f>270*0.02</f>
        <v>5.4</v>
      </c>
      <c r="Z76" s="50">
        <f>SUM(C76:Y76)</f>
        <v>15.000000000000002</v>
      </c>
    </row>
    <row r="77" spans="1:26" x14ac:dyDescent="0.2">
      <c r="A77" s="4" t="s">
        <v>153</v>
      </c>
      <c r="B77" s="4" t="s">
        <v>200</v>
      </c>
      <c r="C77" s="5">
        <v>0</v>
      </c>
      <c r="D77" s="5">
        <v>0</v>
      </c>
      <c r="E77" s="5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9">
        <v>0</v>
      </c>
      <c r="M77" s="10">
        <v>0</v>
      </c>
      <c r="N77" s="29">
        <v>0</v>
      </c>
      <c r="O77" s="30">
        <v>0</v>
      </c>
      <c r="P77" s="30">
        <f>300*0.05</f>
        <v>15</v>
      </c>
      <c r="Q77" s="30">
        <v>0</v>
      </c>
      <c r="R77" s="5">
        <v>0</v>
      </c>
      <c r="S77" s="5">
        <v>0</v>
      </c>
      <c r="T77" s="30">
        <v>0</v>
      </c>
      <c r="U77" s="30">
        <v>0</v>
      </c>
      <c r="V77" s="30">
        <v>0</v>
      </c>
      <c r="W77" s="45">
        <v>0</v>
      </c>
      <c r="X77" s="5">
        <v>0</v>
      </c>
      <c r="Y77" s="5">
        <v>0</v>
      </c>
      <c r="Z77" s="50">
        <f>SUM(C77:Y77)</f>
        <v>15</v>
      </c>
    </row>
    <row r="78" spans="1:26" x14ac:dyDescent="0.2">
      <c r="A78" s="4" t="s">
        <v>154</v>
      </c>
      <c r="B78" s="4" t="s">
        <v>209</v>
      </c>
      <c r="C78" s="5">
        <v>0</v>
      </c>
      <c r="D78" s="5">
        <v>0</v>
      </c>
      <c r="E78" s="5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9">
        <v>0</v>
      </c>
      <c r="M78" s="10">
        <v>0</v>
      </c>
      <c r="N78" s="29">
        <v>0</v>
      </c>
      <c r="O78" s="30">
        <v>0</v>
      </c>
      <c r="P78" s="30">
        <v>0</v>
      </c>
      <c r="Q78" s="30">
        <v>0</v>
      </c>
      <c r="R78" s="5">
        <f>270*0.03</f>
        <v>8.1</v>
      </c>
      <c r="S78" s="5">
        <f>170*0.04</f>
        <v>6.8</v>
      </c>
      <c r="T78" s="30">
        <v>0</v>
      </c>
      <c r="U78" s="30">
        <v>0</v>
      </c>
      <c r="V78" s="30">
        <v>0</v>
      </c>
      <c r="W78" s="45">
        <v>0</v>
      </c>
      <c r="X78" s="5">
        <v>0</v>
      </c>
      <c r="Y78" s="5">
        <v>0</v>
      </c>
      <c r="Z78" s="50">
        <f>SUM(C78:Y78)</f>
        <v>14.899999999999999</v>
      </c>
    </row>
    <row r="79" spans="1:26" x14ac:dyDescent="0.2">
      <c r="A79" s="4" t="s">
        <v>155</v>
      </c>
      <c r="B79" s="4" t="s">
        <v>254</v>
      </c>
      <c r="C79" s="5">
        <v>0</v>
      </c>
      <c r="D79" s="5">
        <v>0</v>
      </c>
      <c r="E79" s="5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9">
        <v>0</v>
      </c>
      <c r="M79" s="9">
        <v>0</v>
      </c>
      <c r="N79" s="38">
        <v>0</v>
      </c>
      <c r="O79" s="39">
        <v>0</v>
      </c>
      <c r="P79" s="39">
        <v>0</v>
      </c>
      <c r="Q79" s="39">
        <v>0</v>
      </c>
      <c r="R79" s="7">
        <v>0</v>
      </c>
      <c r="S79" s="7">
        <v>0</v>
      </c>
      <c r="T79" s="39">
        <v>0</v>
      </c>
      <c r="U79" s="39">
        <v>0</v>
      </c>
      <c r="V79" s="30">
        <v>14.85</v>
      </c>
      <c r="W79" s="45">
        <v>0</v>
      </c>
      <c r="X79" s="5">
        <v>0</v>
      </c>
      <c r="Y79" s="5">
        <v>0</v>
      </c>
      <c r="Z79" s="50">
        <f>SUM(C79:Y79)</f>
        <v>14.85</v>
      </c>
    </row>
    <row r="80" spans="1:26" x14ac:dyDescent="0.2">
      <c r="A80" s="4" t="s">
        <v>156</v>
      </c>
      <c r="B80" s="53" t="s">
        <v>281</v>
      </c>
      <c r="C80" s="5">
        <v>0</v>
      </c>
      <c r="D80" s="5">
        <v>0</v>
      </c>
      <c r="E80" s="5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9">
        <v>0</v>
      </c>
      <c r="M80" s="9">
        <v>0</v>
      </c>
      <c r="N80" s="38">
        <v>0</v>
      </c>
      <c r="O80" s="39">
        <v>0</v>
      </c>
      <c r="P80" s="39">
        <v>0</v>
      </c>
      <c r="Q80" s="39">
        <v>0</v>
      </c>
      <c r="R80" s="7">
        <v>0</v>
      </c>
      <c r="S80" s="7">
        <v>0</v>
      </c>
      <c r="T80" s="39">
        <v>0</v>
      </c>
      <c r="U80" s="39">
        <v>0</v>
      </c>
      <c r="V80" s="39">
        <v>0</v>
      </c>
      <c r="W80" s="45">
        <v>0</v>
      </c>
      <c r="X80" s="5">
        <v>0</v>
      </c>
      <c r="Y80" s="5">
        <f>270*0.05</f>
        <v>13.5</v>
      </c>
      <c r="Z80" s="50">
        <f>SUM(C80:Y80)</f>
        <v>13.5</v>
      </c>
    </row>
    <row r="81" spans="1:26" x14ac:dyDescent="0.2">
      <c r="A81" s="4" t="s">
        <v>157</v>
      </c>
      <c r="B81" s="6" t="s">
        <v>32</v>
      </c>
      <c r="C81" s="7">
        <v>13.2</v>
      </c>
      <c r="D81" s="7">
        <v>0</v>
      </c>
      <c r="E81" s="7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29">
        <v>0</v>
      </c>
      <c r="O81" s="30">
        <v>0</v>
      </c>
      <c r="P81" s="30">
        <v>0</v>
      </c>
      <c r="Q81" s="30">
        <v>0</v>
      </c>
      <c r="R81" s="5">
        <v>0</v>
      </c>
      <c r="S81" s="5">
        <v>0</v>
      </c>
      <c r="T81" s="30">
        <v>0</v>
      </c>
      <c r="U81" s="30">
        <v>0</v>
      </c>
      <c r="V81" s="30">
        <v>0</v>
      </c>
      <c r="W81" s="45">
        <v>0</v>
      </c>
      <c r="X81" s="5">
        <v>0</v>
      </c>
      <c r="Y81" s="5">
        <v>0</v>
      </c>
      <c r="Z81" s="50">
        <f>SUM(C81:Y81)</f>
        <v>13.2</v>
      </c>
    </row>
    <row r="82" spans="1:26" x14ac:dyDescent="0.2">
      <c r="A82" s="4" t="s">
        <v>158</v>
      </c>
      <c r="B82" s="6" t="s">
        <v>33</v>
      </c>
      <c r="C82" s="7">
        <v>13.2</v>
      </c>
      <c r="D82" s="7">
        <v>0</v>
      </c>
      <c r="E82" s="7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29">
        <v>0</v>
      </c>
      <c r="O82" s="30">
        <v>0</v>
      </c>
      <c r="P82" s="30">
        <v>0</v>
      </c>
      <c r="Q82" s="30">
        <v>0</v>
      </c>
      <c r="R82" s="5">
        <v>0</v>
      </c>
      <c r="S82" s="5">
        <v>0</v>
      </c>
      <c r="T82" s="30">
        <v>0</v>
      </c>
      <c r="U82" s="30">
        <v>0</v>
      </c>
      <c r="V82" s="30">
        <v>0</v>
      </c>
      <c r="W82" s="45">
        <v>0</v>
      </c>
      <c r="X82" s="5">
        <v>0</v>
      </c>
      <c r="Y82" s="5">
        <v>0</v>
      </c>
      <c r="Z82" s="50">
        <f>SUM(C82:Y82)</f>
        <v>13.2</v>
      </c>
    </row>
    <row r="83" spans="1:26" x14ac:dyDescent="0.2">
      <c r="A83" s="4" t="s">
        <v>159</v>
      </c>
      <c r="B83" s="4" t="s">
        <v>115</v>
      </c>
      <c r="C83" s="5">
        <v>0</v>
      </c>
      <c r="D83" s="5">
        <v>0</v>
      </c>
      <c r="E83" s="5">
        <v>0</v>
      </c>
      <c r="F83" s="10">
        <f>320*0.04</f>
        <v>12.8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9">
        <v>0</v>
      </c>
      <c r="M83" s="9">
        <v>0</v>
      </c>
      <c r="N83" s="29">
        <v>0</v>
      </c>
      <c r="O83" s="30">
        <v>0</v>
      </c>
      <c r="P83" s="30">
        <v>0</v>
      </c>
      <c r="Q83" s="30">
        <v>0</v>
      </c>
      <c r="R83" s="5">
        <v>0</v>
      </c>
      <c r="S83" s="5">
        <v>0</v>
      </c>
      <c r="T83" s="30">
        <v>0</v>
      </c>
      <c r="U83" s="30">
        <v>0</v>
      </c>
      <c r="V83" s="30">
        <v>0</v>
      </c>
      <c r="W83" s="45">
        <v>0</v>
      </c>
      <c r="X83" s="5">
        <v>0</v>
      </c>
      <c r="Y83" s="5">
        <v>0</v>
      </c>
      <c r="Z83" s="50">
        <f>SUM(C83:Y83)</f>
        <v>12.8</v>
      </c>
    </row>
    <row r="84" spans="1:26" x14ac:dyDescent="0.2">
      <c r="A84" s="4" t="s">
        <v>240</v>
      </c>
      <c r="B84" s="4" t="s">
        <v>175</v>
      </c>
      <c r="C84" s="5">
        <v>0</v>
      </c>
      <c r="D84" s="5">
        <v>0</v>
      </c>
      <c r="E84" s="5">
        <v>0</v>
      </c>
      <c r="F84" s="10">
        <v>0</v>
      </c>
      <c r="G84" s="10">
        <v>0</v>
      </c>
      <c r="H84" s="10">
        <v>0</v>
      </c>
      <c r="I84" s="10">
        <v>3.3</v>
      </c>
      <c r="J84" s="10">
        <v>0</v>
      </c>
      <c r="K84" s="10">
        <v>0</v>
      </c>
      <c r="L84" s="9">
        <v>0</v>
      </c>
      <c r="M84" s="9">
        <v>0</v>
      </c>
      <c r="N84" s="29">
        <v>0</v>
      </c>
      <c r="O84" s="30">
        <v>0</v>
      </c>
      <c r="P84" s="30">
        <f>300*0.03</f>
        <v>9</v>
      </c>
      <c r="Q84" s="30">
        <v>0</v>
      </c>
      <c r="R84" s="5">
        <v>0</v>
      </c>
      <c r="S84" s="5">
        <v>0</v>
      </c>
      <c r="T84" s="30">
        <v>0</v>
      </c>
      <c r="U84" s="30">
        <v>0</v>
      </c>
      <c r="V84" s="30">
        <v>0</v>
      </c>
      <c r="W84" s="45">
        <v>0</v>
      </c>
      <c r="X84" s="5">
        <v>0</v>
      </c>
      <c r="Y84" s="5">
        <v>0</v>
      </c>
      <c r="Z84" s="50">
        <f>SUM(C84:Y84)</f>
        <v>12.3</v>
      </c>
    </row>
    <row r="85" spans="1:26" x14ac:dyDescent="0.2">
      <c r="A85" s="4" t="s">
        <v>160</v>
      </c>
      <c r="B85" s="4" t="s">
        <v>183</v>
      </c>
      <c r="C85" s="5">
        <v>0</v>
      </c>
      <c r="D85" s="5">
        <v>0</v>
      </c>
      <c r="E85" s="5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12.25</v>
      </c>
      <c r="L85" s="9">
        <v>0</v>
      </c>
      <c r="M85" s="9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30">
        <v>0</v>
      </c>
      <c r="V85" s="30">
        <v>0</v>
      </c>
      <c r="W85" s="45">
        <v>0</v>
      </c>
      <c r="X85" s="5">
        <v>0</v>
      </c>
      <c r="Y85" s="5">
        <v>0</v>
      </c>
      <c r="Z85" s="50">
        <f>SUM(C85:Y85)</f>
        <v>12.25</v>
      </c>
    </row>
    <row r="86" spans="1:26" x14ac:dyDescent="0.2">
      <c r="A86" s="4" t="s">
        <v>161</v>
      </c>
      <c r="B86" s="4" t="s">
        <v>87</v>
      </c>
      <c r="C86" s="5">
        <v>0</v>
      </c>
      <c r="D86" s="5">
        <v>0</v>
      </c>
      <c r="E86" s="5">
        <f>390*0.03</f>
        <v>11.7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9">
        <v>0</v>
      </c>
      <c r="M86" s="9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30">
        <v>0</v>
      </c>
      <c r="V86" s="30">
        <v>0</v>
      </c>
      <c r="W86" s="45">
        <v>0</v>
      </c>
      <c r="X86" s="5">
        <v>0</v>
      </c>
      <c r="Y86" s="5">
        <v>0</v>
      </c>
      <c r="Z86" s="50">
        <f>SUM(C86:Y86)</f>
        <v>11.7</v>
      </c>
    </row>
    <row r="87" spans="1:26" x14ac:dyDescent="0.2">
      <c r="A87" s="4" t="s">
        <v>162</v>
      </c>
      <c r="B87" s="4" t="s">
        <v>174</v>
      </c>
      <c r="C87" s="5">
        <v>0</v>
      </c>
      <c r="D87" s="5">
        <v>0</v>
      </c>
      <c r="E87" s="5">
        <v>0</v>
      </c>
      <c r="F87" s="10">
        <v>0</v>
      </c>
      <c r="G87" s="10">
        <v>0</v>
      </c>
      <c r="H87" s="10">
        <v>0</v>
      </c>
      <c r="I87" s="10">
        <v>11.55</v>
      </c>
      <c r="J87" s="10">
        <v>0</v>
      </c>
      <c r="K87" s="10">
        <v>0</v>
      </c>
      <c r="L87" s="9">
        <v>0</v>
      </c>
      <c r="M87" s="9">
        <v>0</v>
      </c>
      <c r="N87" s="29">
        <v>0</v>
      </c>
      <c r="O87" s="30">
        <v>0</v>
      </c>
      <c r="P87" s="30">
        <v>0</v>
      </c>
      <c r="Q87" s="30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45">
        <v>0</v>
      </c>
      <c r="X87" s="5">
        <v>0</v>
      </c>
      <c r="Y87" s="5">
        <v>0</v>
      </c>
      <c r="Z87" s="50">
        <f>SUM(C87:Y87)</f>
        <v>11.55</v>
      </c>
    </row>
    <row r="88" spans="1:26" x14ac:dyDescent="0.2">
      <c r="A88" s="4" t="s">
        <v>163</v>
      </c>
      <c r="B88" s="4" t="s">
        <v>114</v>
      </c>
      <c r="C88" s="5">
        <v>0</v>
      </c>
      <c r="D88" s="5">
        <v>0</v>
      </c>
      <c r="E88" s="5">
        <v>0</v>
      </c>
      <c r="F88" s="10">
        <f>320*0.035</f>
        <v>11.200000000000001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9">
        <v>0</v>
      </c>
      <c r="M88" s="9">
        <v>0</v>
      </c>
      <c r="N88" s="29">
        <v>0</v>
      </c>
      <c r="O88" s="30">
        <v>0</v>
      </c>
      <c r="P88" s="30">
        <v>0</v>
      </c>
      <c r="Q88" s="30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45">
        <v>0</v>
      </c>
      <c r="X88" s="5">
        <v>0</v>
      </c>
      <c r="Y88" s="5">
        <v>0</v>
      </c>
      <c r="Z88" s="50">
        <f>SUM(C88:Y88)</f>
        <v>11.200000000000001</v>
      </c>
    </row>
    <row r="89" spans="1:26" x14ac:dyDescent="0.2">
      <c r="A89" s="4" t="s">
        <v>164</v>
      </c>
      <c r="B89" s="4" t="s">
        <v>265</v>
      </c>
      <c r="C89" s="5">
        <v>0</v>
      </c>
      <c r="D89" s="5">
        <v>0</v>
      </c>
      <c r="E89" s="5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9">
        <v>0</v>
      </c>
      <c r="M89" s="9">
        <v>0</v>
      </c>
      <c r="N89" s="38">
        <v>0</v>
      </c>
      <c r="O89" s="39">
        <v>0</v>
      </c>
      <c r="P89" s="39">
        <v>0</v>
      </c>
      <c r="Q89" s="39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45">
        <v>0</v>
      </c>
      <c r="X89" s="5">
        <f>280*0.04</f>
        <v>11.200000000000001</v>
      </c>
      <c r="Y89" s="5">
        <v>0</v>
      </c>
      <c r="Z89" s="50">
        <f>SUM(C89:Y89)</f>
        <v>11.200000000000001</v>
      </c>
    </row>
    <row r="90" spans="1:26" x14ac:dyDescent="0.2">
      <c r="A90" s="4" t="s">
        <v>165</v>
      </c>
      <c r="B90" s="4" t="s">
        <v>266</v>
      </c>
      <c r="C90" s="5">
        <v>0</v>
      </c>
      <c r="D90" s="5">
        <v>0</v>
      </c>
      <c r="E90" s="5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9">
        <v>0</v>
      </c>
      <c r="M90" s="9">
        <v>0</v>
      </c>
      <c r="N90" s="38">
        <v>0</v>
      </c>
      <c r="O90" s="39">
        <v>0</v>
      </c>
      <c r="P90" s="39">
        <v>0</v>
      </c>
      <c r="Q90" s="39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45">
        <v>0</v>
      </c>
      <c r="X90" s="5">
        <f>280*0.04</f>
        <v>11.200000000000001</v>
      </c>
      <c r="Y90" s="5">
        <v>0</v>
      </c>
      <c r="Z90" s="50">
        <f>SUM(C90:Y90)</f>
        <v>11.200000000000001</v>
      </c>
    </row>
    <row r="91" spans="1:26" x14ac:dyDescent="0.2">
      <c r="A91" s="4" t="s">
        <v>166</v>
      </c>
      <c r="B91" s="4" t="s">
        <v>216</v>
      </c>
      <c r="C91" s="5">
        <v>0</v>
      </c>
      <c r="D91" s="5">
        <v>0</v>
      </c>
      <c r="E91" s="5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9">
        <v>0</v>
      </c>
      <c r="M91" s="10">
        <v>0</v>
      </c>
      <c r="N91" s="29">
        <v>0</v>
      </c>
      <c r="O91" s="30">
        <v>0</v>
      </c>
      <c r="P91" s="30">
        <v>0</v>
      </c>
      <c r="Q91" s="30">
        <v>0</v>
      </c>
      <c r="R91" s="5">
        <v>0</v>
      </c>
      <c r="S91" s="5">
        <f>170*0.03</f>
        <v>5.0999999999999996</v>
      </c>
      <c r="T91" s="5">
        <f>40*0.08</f>
        <v>3.2</v>
      </c>
      <c r="U91" s="5">
        <v>0</v>
      </c>
      <c r="V91" s="5">
        <v>0</v>
      </c>
      <c r="W91" s="45">
        <v>0</v>
      </c>
      <c r="X91" s="5">
        <f>280*0.01</f>
        <v>2.8000000000000003</v>
      </c>
      <c r="Y91" s="5">
        <v>0</v>
      </c>
      <c r="Z91" s="50">
        <f>SUM(C91:Y91)</f>
        <v>11.100000000000001</v>
      </c>
    </row>
    <row r="92" spans="1:26" x14ac:dyDescent="0.2">
      <c r="A92" s="4" t="s">
        <v>241</v>
      </c>
      <c r="B92" s="53" t="s">
        <v>286</v>
      </c>
      <c r="C92" s="5">
        <v>0</v>
      </c>
      <c r="D92" s="5">
        <v>0</v>
      </c>
      <c r="E92" s="5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9">
        <v>0</v>
      </c>
      <c r="M92" s="9">
        <v>0</v>
      </c>
      <c r="N92" s="38">
        <v>0</v>
      </c>
      <c r="O92" s="39">
        <v>0</v>
      </c>
      <c r="P92" s="39">
        <v>0</v>
      </c>
      <c r="Q92" s="39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45">
        <v>0</v>
      </c>
      <c r="X92" s="5">
        <v>0</v>
      </c>
      <c r="Y92" s="5">
        <f>270*0.04</f>
        <v>10.8</v>
      </c>
      <c r="Z92" s="50">
        <f>SUM(C92:Y92)</f>
        <v>10.8</v>
      </c>
    </row>
    <row r="93" spans="1:26" x14ac:dyDescent="0.2">
      <c r="A93" s="4" t="s">
        <v>167</v>
      </c>
      <c r="B93" s="4" t="s">
        <v>38</v>
      </c>
      <c r="C93" s="5">
        <v>4.4000000000000004</v>
      </c>
      <c r="D93" s="5">
        <v>5.6</v>
      </c>
      <c r="E93" s="5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9">
        <v>0</v>
      </c>
      <c r="M93" s="9">
        <v>0</v>
      </c>
      <c r="N93" s="29">
        <v>0</v>
      </c>
      <c r="O93" s="30">
        <v>0</v>
      </c>
      <c r="P93" s="30">
        <v>0</v>
      </c>
      <c r="Q93" s="30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45">
        <v>0</v>
      </c>
      <c r="X93" s="5">
        <v>0</v>
      </c>
      <c r="Y93" s="5">
        <v>0</v>
      </c>
      <c r="Z93" s="50">
        <f>SUM(C93:Y93)</f>
        <v>10</v>
      </c>
    </row>
    <row r="94" spans="1:26" x14ac:dyDescent="0.2">
      <c r="A94" s="4" t="s">
        <v>168</v>
      </c>
      <c r="B94" s="4" t="s">
        <v>133</v>
      </c>
      <c r="C94" s="5">
        <v>0</v>
      </c>
      <c r="D94" s="5">
        <v>0</v>
      </c>
      <c r="E94" s="5">
        <v>0</v>
      </c>
      <c r="F94" s="10">
        <v>0</v>
      </c>
      <c r="G94" s="10">
        <v>0</v>
      </c>
      <c r="H94" s="10">
        <v>9.9</v>
      </c>
      <c r="I94" s="10">
        <v>0</v>
      </c>
      <c r="J94" s="10">
        <v>0</v>
      </c>
      <c r="K94" s="10">
        <v>0</v>
      </c>
      <c r="L94" s="9">
        <v>0</v>
      </c>
      <c r="M94" s="9">
        <v>0</v>
      </c>
      <c r="N94" s="29">
        <v>0</v>
      </c>
      <c r="O94" s="30">
        <v>0</v>
      </c>
      <c r="P94" s="30">
        <v>0</v>
      </c>
      <c r="Q94" s="30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45">
        <v>0</v>
      </c>
      <c r="X94" s="5">
        <v>0</v>
      </c>
      <c r="Y94" s="5">
        <v>0</v>
      </c>
      <c r="Z94" s="50">
        <f>SUM(C94:Y94)</f>
        <v>9.9</v>
      </c>
    </row>
    <row r="95" spans="1:26" x14ac:dyDescent="0.2">
      <c r="A95" s="4" t="s">
        <v>169</v>
      </c>
      <c r="B95" s="37" t="s">
        <v>227</v>
      </c>
      <c r="C95" s="5">
        <v>0</v>
      </c>
      <c r="D95" s="5">
        <v>0</v>
      </c>
      <c r="E95" s="5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9">
        <v>0</v>
      </c>
      <c r="M95" s="10">
        <v>0</v>
      </c>
      <c r="N95" s="29">
        <v>0</v>
      </c>
      <c r="O95" s="30">
        <v>0</v>
      </c>
      <c r="P95" s="30">
        <v>0</v>
      </c>
      <c r="Q95" s="30">
        <v>0</v>
      </c>
      <c r="R95" s="5">
        <v>0</v>
      </c>
      <c r="S95" s="5">
        <v>0</v>
      </c>
      <c r="T95" s="5">
        <v>0</v>
      </c>
      <c r="U95" s="5">
        <v>9.6</v>
      </c>
      <c r="V95" s="5">
        <v>0</v>
      </c>
      <c r="W95" s="45">
        <v>0</v>
      </c>
      <c r="X95" s="5">
        <v>0</v>
      </c>
      <c r="Y95" s="5">
        <v>0</v>
      </c>
      <c r="Z95" s="50">
        <f>SUM(C95:Y95)</f>
        <v>9.6</v>
      </c>
    </row>
    <row r="96" spans="1:26" x14ac:dyDescent="0.2">
      <c r="A96" s="4" t="s">
        <v>170</v>
      </c>
      <c r="B96" s="4" t="s">
        <v>260</v>
      </c>
      <c r="C96" s="5">
        <v>0</v>
      </c>
      <c r="D96" s="5">
        <v>0</v>
      </c>
      <c r="E96" s="5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9">
        <v>0</v>
      </c>
      <c r="M96" s="9">
        <v>0</v>
      </c>
      <c r="N96" s="38">
        <v>0</v>
      </c>
      <c r="O96" s="39">
        <v>0</v>
      </c>
      <c r="P96" s="39">
        <v>0</v>
      </c>
      <c r="Q96" s="39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45">
        <f>270*0.035</f>
        <v>9.4500000000000011</v>
      </c>
      <c r="X96" s="5">
        <v>0</v>
      </c>
      <c r="Y96" s="5">
        <v>0</v>
      </c>
      <c r="Z96" s="50">
        <f>SUM(C96:Y96)</f>
        <v>9.4500000000000011</v>
      </c>
    </row>
    <row r="97" spans="1:26" x14ac:dyDescent="0.2">
      <c r="A97" s="4" t="s">
        <v>171</v>
      </c>
      <c r="B97" s="54" t="s">
        <v>287</v>
      </c>
      <c r="C97" s="5">
        <v>0</v>
      </c>
      <c r="D97" s="5">
        <v>0</v>
      </c>
      <c r="E97" s="5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9">
        <v>0</v>
      </c>
      <c r="M97" s="9">
        <v>0</v>
      </c>
      <c r="N97" s="38">
        <v>0</v>
      </c>
      <c r="O97" s="39">
        <v>0</v>
      </c>
      <c r="P97" s="39">
        <v>0</v>
      </c>
      <c r="Q97" s="39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45">
        <v>0</v>
      </c>
      <c r="X97" s="5">
        <v>0</v>
      </c>
      <c r="Y97" s="5">
        <f>270*0.035</f>
        <v>9.4500000000000011</v>
      </c>
      <c r="Z97" s="50">
        <f>SUM(C97:Y97)</f>
        <v>9.4500000000000011</v>
      </c>
    </row>
    <row r="98" spans="1:26" x14ac:dyDescent="0.2">
      <c r="A98" s="4" t="s">
        <v>172</v>
      </c>
      <c r="B98" s="4" t="s">
        <v>288</v>
      </c>
      <c r="C98" s="5">
        <v>0</v>
      </c>
      <c r="D98" s="5">
        <v>0</v>
      </c>
      <c r="E98" s="5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9">
        <v>0</v>
      </c>
      <c r="M98" s="9">
        <v>0</v>
      </c>
      <c r="N98" s="38">
        <v>0</v>
      </c>
      <c r="O98" s="39">
        <v>0</v>
      </c>
      <c r="P98" s="39">
        <v>0</v>
      </c>
      <c r="Q98" s="39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45">
        <v>0</v>
      </c>
      <c r="X98" s="5">
        <v>0</v>
      </c>
      <c r="Y98" s="5">
        <f>270*0.035</f>
        <v>9.4500000000000011</v>
      </c>
      <c r="Z98" s="50">
        <f>SUM(C98:Y98)</f>
        <v>9.4500000000000011</v>
      </c>
    </row>
    <row r="99" spans="1:26" x14ac:dyDescent="0.2">
      <c r="A99" s="4" t="s">
        <v>173</v>
      </c>
      <c r="B99" s="4" t="s">
        <v>204</v>
      </c>
      <c r="C99" s="5">
        <v>0</v>
      </c>
      <c r="D99" s="5">
        <v>0</v>
      </c>
      <c r="E99" s="5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9">
        <v>0</v>
      </c>
      <c r="M99" s="10">
        <v>0</v>
      </c>
      <c r="N99" s="29">
        <v>0</v>
      </c>
      <c r="O99" s="30">
        <v>0</v>
      </c>
      <c r="P99" s="30">
        <v>0</v>
      </c>
      <c r="Q99" s="30">
        <f>310*0.03</f>
        <v>9.2999999999999989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45">
        <v>0</v>
      </c>
      <c r="X99" s="5">
        <v>0</v>
      </c>
      <c r="Y99" s="5">
        <v>0</v>
      </c>
      <c r="Z99" s="50">
        <f>SUM(C99:Y99)</f>
        <v>9.2999999999999989</v>
      </c>
    </row>
    <row r="100" spans="1:26" x14ac:dyDescent="0.2">
      <c r="A100" s="4" t="s">
        <v>228</v>
      </c>
      <c r="B100" s="4" t="s">
        <v>199</v>
      </c>
      <c r="C100" s="5">
        <v>0</v>
      </c>
      <c r="D100" s="5">
        <v>0</v>
      </c>
      <c r="E100" s="5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9">
        <v>0</v>
      </c>
      <c r="M100" s="10">
        <v>0</v>
      </c>
      <c r="N100" s="29">
        <v>0</v>
      </c>
      <c r="O100" s="30">
        <v>0</v>
      </c>
      <c r="P100" s="30">
        <f>300*0.03</f>
        <v>9</v>
      </c>
      <c r="Q100" s="30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45">
        <v>0</v>
      </c>
      <c r="X100" s="5">
        <v>0</v>
      </c>
      <c r="Y100" s="5">
        <v>0</v>
      </c>
      <c r="Z100" s="50">
        <f>SUM(C100:Y100)</f>
        <v>9</v>
      </c>
    </row>
    <row r="101" spans="1:26" x14ac:dyDescent="0.2">
      <c r="A101" s="4" t="s">
        <v>229</v>
      </c>
      <c r="B101" s="4" t="s">
        <v>41</v>
      </c>
      <c r="C101" s="5">
        <v>8.8000000000000007</v>
      </c>
      <c r="D101" s="5">
        <v>0</v>
      </c>
      <c r="E101" s="5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9">
        <v>0</v>
      </c>
      <c r="M101" s="9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30">
        <v>0</v>
      </c>
      <c r="V101" s="30">
        <v>0</v>
      </c>
      <c r="W101" s="45">
        <v>0</v>
      </c>
      <c r="X101" s="5">
        <v>0</v>
      </c>
      <c r="Y101" s="5">
        <v>0</v>
      </c>
      <c r="Z101" s="50">
        <f>SUM(C101:Y101)</f>
        <v>8.8000000000000007</v>
      </c>
    </row>
    <row r="102" spans="1:26" x14ac:dyDescent="0.2">
      <c r="A102" s="4" t="s">
        <v>230</v>
      </c>
      <c r="B102" s="4" t="s">
        <v>247</v>
      </c>
      <c r="C102" s="5">
        <v>0</v>
      </c>
      <c r="D102" s="5">
        <v>0</v>
      </c>
      <c r="E102" s="5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9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8.4</v>
      </c>
      <c r="V102" s="30">
        <v>0</v>
      </c>
      <c r="W102" s="45">
        <v>0</v>
      </c>
      <c r="X102" s="5">
        <v>0</v>
      </c>
      <c r="Y102" s="5">
        <v>0</v>
      </c>
      <c r="Z102" s="50">
        <f>SUM(C102:Y102)</f>
        <v>8.4</v>
      </c>
    </row>
    <row r="103" spans="1:26" x14ac:dyDescent="0.2">
      <c r="A103" s="4" t="s">
        <v>231</v>
      </c>
      <c r="B103" s="4" t="s">
        <v>271</v>
      </c>
      <c r="C103" s="5">
        <v>0</v>
      </c>
      <c r="D103" s="5">
        <v>0</v>
      </c>
      <c r="E103" s="5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39">
        <v>0</v>
      </c>
      <c r="W103" s="45">
        <v>0</v>
      </c>
      <c r="X103" s="5">
        <f>280*0.03</f>
        <v>8.4</v>
      </c>
      <c r="Y103" s="5">
        <v>0</v>
      </c>
      <c r="Z103" s="50">
        <f>SUM(C103:Y103)</f>
        <v>8.4</v>
      </c>
    </row>
    <row r="104" spans="1:26" x14ac:dyDescent="0.2">
      <c r="A104" s="4" t="s">
        <v>232</v>
      </c>
      <c r="B104" s="4" t="s">
        <v>256</v>
      </c>
      <c r="C104" s="5">
        <v>0</v>
      </c>
      <c r="D104" s="5">
        <v>0</v>
      </c>
      <c r="E104" s="5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30">
        <v>8.1</v>
      </c>
      <c r="W104" s="45">
        <v>0</v>
      </c>
      <c r="X104" s="5">
        <v>0</v>
      </c>
      <c r="Y104" s="5">
        <v>0</v>
      </c>
      <c r="Z104" s="50">
        <f>SUM(C104:Y104)</f>
        <v>8.1</v>
      </c>
    </row>
    <row r="105" spans="1:26" x14ac:dyDescent="0.2">
      <c r="A105" s="4" t="s">
        <v>233</v>
      </c>
      <c r="B105" s="4" t="s">
        <v>257</v>
      </c>
      <c r="C105" s="5">
        <v>0</v>
      </c>
      <c r="D105" s="5">
        <v>0</v>
      </c>
      <c r="E105" s="5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30">
        <v>8.1</v>
      </c>
      <c r="W105" s="45">
        <v>0</v>
      </c>
      <c r="X105" s="5">
        <v>0</v>
      </c>
      <c r="Y105" s="5">
        <v>0</v>
      </c>
      <c r="Z105" s="50">
        <f>SUM(C105:Y105)</f>
        <v>8.1</v>
      </c>
    </row>
    <row r="106" spans="1:26" x14ac:dyDescent="0.2">
      <c r="A106" s="4" t="s">
        <v>234</v>
      </c>
      <c r="B106" s="4" t="s">
        <v>261</v>
      </c>
      <c r="C106" s="5">
        <v>0</v>
      </c>
      <c r="D106" s="5">
        <v>0</v>
      </c>
      <c r="E106" s="5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39">
        <v>0</v>
      </c>
      <c r="W106" s="45">
        <f>270*0.03</f>
        <v>8.1</v>
      </c>
      <c r="X106" s="5">
        <v>0</v>
      </c>
      <c r="Y106" s="5">
        <v>0</v>
      </c>
      <c r="Z106" s="50">
        <f>SUM(C106:Y106)</f>
        <v>8.1</v>
      </c>
    </row>
    <row r="107" spans="1:26" x14ac:dyDescent="0.2">
      <c r="A107" s="4" t="s">
        <v>235</v>
      </c>
      <c r="B107" s="4" t="s">
        <v>88</v>
      </c>
      <c r="C107" s="5">
        <v>0</v>
      </c>
      <c r="D107" s="5">
        <v>0</v>
      </c>
      <c r="E107" s="5">
        <f>390*0.02</f>
        <v>7.8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9">
        <v>0</v>
      </c>
      <c r="M107" s="9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30">
        <v>0</v>
      </c>
      <c r="W107" s="45">
        <v>0</v>
      </c>
      <c r="X107" s="5">
        <v>0</v>
      </c>
      <c r="Y107" s="5">
        <v>0</v>
      </c>
      <c r="Z107" s="50">
        <f>SUM(C107:Y107)</f>
        <v>7.8</v>
      </c>
    </row>
    <row r="108" spans="1:26" x14ac:dyDescent="0.2">
      <c r="A108" s="4" t="s">
        <v>236</v>
      </c>
      <c r="B108" s="4" t="s">
        <v>248</v>
      </c>
      <c r="C108" s="5">
        <v>0</v>
      </c>
      <c r="D108" s="5">
        <v>0</v>
      </c>
      <c r="E108" s="5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7.2</v>
      </c>
      <c r="V108" s="30">
        <v>0</v>
      </c>
      <c r="W108" s="45">
        <v>0</v>
      </c>
      <c r="X108" s="5">
        <v>0</v>
      </c>
      <c r="Y108" s="5">
        <v>0</v>
      </c>
      <c r="Z108" s="50">
        <f>SUM(C108:Y108)</f>
        <v>7.2</v>
      </c>
    </row>
    <row r="109" spans="1:26" x14ac:dyDescent="0.2">
      <c r="A109" s="4" t="s">
        <v>237</v>
      </c>
      <c r="B109" s="4" t="s">
        <v>249</v>
      </c>
      <c r="C109" s="5">
        <v>0</v>
      </c>
      <c r="D109" s="5">
        <v>0</v>
      </c>
      <c r="E109" s="5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7.2</v>
      </c>
      <c r="V109" s="30">
        <v>0</v>
      </c>
      <c r="W109" s="45">
        <v>0</v>
      </c>
      <c r="X109" s="5">
        <v>0</v>
      </c>
      <c r="Y109" s="5">
        <v>0</v>
      </c>
      <c r="Z109" s="50">
        <f>SUM(C109:Y109)</f>
        <v>7.2</v>
      </c>
    </row>
    <row r="110" spans="1:26" x14ac:dyDescent="0.2">
      <c r="A110" s="4" t="s">
        <v>242</v>
      </c>
      <c r="B110" s="4" t="s">
        <v>123</v>
      </c>
      <c r="C110" s="5">
        <v>0</v>
      </c>
      <c r="D110" s="5">
        <v>0</v>
      </c>
      <c r="E110" s="5">
        <v>0</v>
      </c>
      <c r="F110" s="10">
        <v>0</v>
      </c>
      <c r="G110" s="10">
        <v>7</v>
      </c>
      <c r="H110" s="10">
        <v>0</v>
      </c>
      <c r="I110" s="10">
        <v>0</v>
      </c>
      <c r="J110" s="10">
        <v>0</v>
      </c>
      <c r="K110" s="10">
        <v>0</v>
      </c>
      <c r="L110" s="9">
        <v>0</v>
      </c>
      <c r="M110" s="9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45">
        <v>0</v>
      </c>
      <c r="X110" s="5">
        <v>0</v>
      </c>
      <c r="Y110" s="5">
        <v>0</v>
      </c>
      <c r="Z110" s="50">
        <f>SUM(C110:Y110)</f>
        <v>7</v>
      </c>
    </row>
    <row r="111" spans="1:26" x14ac:dyDescent="0.2">
      <c r="A111" s="4" t="s">
        <v>238</v>
      </c>
      <c r="B111" s="4" t="s">
        <v>113</v>
      </c>
      <c r="C111" s="5">
        <v>0</v>
      </c>
      <c r="D111" s="5">
        <v>0</v>
      </c>
      <c r="E111" s="5">
        <v>0</v>
      </c>
      <c r="F111" s="10">
        <f>320*0.02</f>
        <v>6.4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9">
        <v>0</v>
      </c>
      <c r="M111" s="9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45">
        <v>0</v>
      </c>
      <c r="X111" s="5">
        <v>0</v>
      </c>
      <c r="Y111" s="5">
        <v>0</v>
      </c>
      <c r="Z111" s="50">
        <f>SUM(C111:Y111)</f>
        <v>6.4</v>
      </c>
    </row>
    <row r="112" spans="1:26" x14ac:dyDescent="0.2">
      <c r="A112" s="4" t="s">
        <v>239</v>
      </c>
      <c r="B112" s="4" t="s">
        <v>213</v>
      </c>
      <c r="C112" s="5">
        <v>0</v>
      </c>
      <c r="D112" s="5">
        <v>0</v>
      </c>
      <c r="E112" s="5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9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f>170*0.035</f>
        <v>5.95</v>
      </c>
      <c r="T112" s="10">
        <v>0</v>
      </c>
      <c r="U112" s="10">
        <v>0</v>
      </c>
      <c r="V112" s="10">
        <v>0</v>
      </c>
      <c r="W112" s="45">
        <v>0</v>
      </c>
      <c r="X112" s="5">
        <v>0</v>
      </c>
      <c r="Y112" s="5">
        <v>0</v>
      </c>
      <c r="Z112" s="50">
        <f>SUM(C112:Y112)</f>
        <v>5.95</v>
      </c>
    </row>
    <row r="113" spans="1:26" x14ac:dyDescent="0.2">
      <c r="A113" s="4" t="s">
        <v>243</v>
      </c>
      <c r="B113" s="4" t="s">
        <v>214</v>
      </c>
      <c r="C113" s="5">
        <v>0</v>
      </c>
      <c r="D113" s="5">
        <v>0</v>
      </c>
      <c r="E113" s="5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9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f>170*0.035</f>
        <v>5.95</v>
      </c>
      <c r="T113" s="10">
        <v>0</v>
      </c>
      <c r="U113" s="10">
        <v>0</v>
      </c>
      <c r="V113" s="10">
        <v>0</v>
      </c>
      <c r="W113" s="45">
        <v>0</v>
      </c>
      <c r="X113" s="5">
        <v>0</v>
      </c>
      <c r="Y113" s="5">
        <v>0</v>
      </c>
      <c r="Z113" s="50">
        <f>SUM(C113:Y113)</f>
        <v>5.95</v>
      </c>
    </row>
    <row r="114" spans="1:26" x14ac:dyDescent="0.2">
      <c r="A114" s="4" t="s">
        <v>244</v>
      </c>
      <c r="B114" s="4" t="s">
        <v>185</v>
      </c>
      <c r="C114" s="5">
        <v>0</v>
      </c>
      <c r="D114" s="5">
        <v>0</v>
      </c>
      <c r="E114" s="5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f>280*0.02</f>
        <v>5.6000000000000005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45">
        <v>0</v>
      </c>
      <c r="X114" s="5">
        <v>0</v>
      </c>
      <c r="Y114" s="5">
        <v>0</v>
      </c>
      <c r="Z114" s="50">
        <f>SUM(C114:Y114)</f>
        <v>5.6000000000000005</v>
      </c>
    </row>
    <row r="115" spans="1:26" x14ac:dyDescent="0.2">
      <c r="A115" s="4" t="s">
        <v>245</v>
      </c>
      <c r="B115" s="4" t="s">
        <v>258</v>
      </c>
      <c r="C115" s="5">
        <v>0</v>
      </c>
      <c r="D115" s="5">
        <v>0</v>
      </c>
      <c r="E115" s="5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10">
        <v>5.4</v>
      </c>
      <c r="W115" s="45">
        <v>0</v>
      </c>
      <c r="X115" s="5">
        <v>0</v>
      </c>
      <c r="Y115" s="5">
        <v>0</v>
      </c>
      <c r="Z115" s="50">
        <f>SUM(C115:Y115)</f>
        <v>5.4</v>
      </c>
    </row>
    <row r="116" spans="1:26" x14ac:dyDescent="0.2">
      <c r="A116" s="4" t="s">
        <v>246</v>
      </c>
      <c r="B116" s="4" t="s">
        <v>289</v>
      </c>
      <c r="C116" s="5">
        <v>0</v>
      </c>
      <c r="D116" s="5">
        <v>0</v>
      </c>
      <c r="E116" s="5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45">
        <v>0</v>
      </c>
      <c r="X116" s="5">
        <v>0</v>
      </c>
      <c r="Y116" s="5">
        <f>270*0.02</f>
        <v>5.4</v>
      </c>
      <c r="Z116" s="50">
        <f>SUM(C116:Y116)</f>
        <v>5.4</v>
      </c>
    </row>
    <row r="117" spans="1:26" x14ac:dyDescent="0.2">
      <c r="A117" s="42" t="s">
        <v>267</v>
      </c>
      <c r="B117" s="4" t="s">
        <v>215</v>
      </c>
      <c r="C117" s="5">
        <v>0</v>
      </c>
      <c r="D117" s="5">
        <v>0</v>
      </c>
      <c r="E117" s="5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9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f>170*0.03</f>
        <v>5.0999999999999996</v>
      </c>
      <c r="T117" s="10">
        <v>0</v>
      </c>
      <c r="U117" s="10">
        <v>0</v>
      </c>
      <c r="V117" s="10">
        <v>0</v>
      </c>
      <c r="W117" s="45">
        <v>0</v>
      </c>
      <c r="X117" s="5">
        <v>0</v>
      </c>
      <c r="Y117" s="5">
        <v>0</v>
      </c>
      <c r="Z117" s="50">
        <f>SUM(C117:Y117)</f>
        <v>5.0999999999999996</v>
      </c>
    </row>
    <row r="118" spans="1:26" x14ac:dyDescent="0.2">
      <c r="A118" s="42" t="s">
        <v>268</v>
      </c>
      <c r="B118" s="4" t="s">
        <v>220</v>
      </c>
      <c r="C118" s="5">
        <v>0</v>
      </c>
      <c r="D118" s="5">
        <v>0</v>
      </c>
      <c r="E118" s="5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9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f>40*0.1</f>
        <v>4</v>
      </c>
      <c r="U118" s="10">
        <v>0</v>
      </c>
      <c r="V118" s="10">
        <v>0</v>
      </c>
      <c r="W118" s="45">
        <v>0</v>
      </c>
      <c r="X118" s="5">
        <v>0</v>
      </c>
      <c r="Y118" s="5">
        <v>0</v>
      </c>
      <c r="Z118" s="50">
        <f>SUM(C118:Y118)</f>
        <v>4</v>
      </c>
    </row>
    <row r="119" spans="1:26" x14ac:dyDescent="0.2">
      <c r="A119" s="42" t="s">
        <v>269</v>
      </c>
      <c r="B119" s="4" t="s">
        <v>135</v>
      </c>
      <c r="C119" s="5">
        <v>0</v>
      </c>
      <c r="D119" s="5">
        <v>0</v>
      </c>
      <c r="E119" s="5">
        <v>0</v>
      </c>
      <c r="F119" s="10">
        <v>0</v>
      </c>
      <c r="G119" s="10">
        <v>0</v>
      </c>
      <c r="H119" s="10">
        <v>3.3</v>
      </c>
      <c r="I119" s="10">
        <v>0</v>
      </c>
      <c r="J119" s="10">
        <v>0</v>
      </c>
      <c r="K119" s="10">
        <v>0</v>
      </c>
      <c r="L119" s="9">
        <v>0</v>
      </c>
      <c r="M119" s="9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45">
        <v>0</v>
      </c>
      <c r="X119" s="5">
        <v>0</v>
      </c>
      <c r="Y119" s="5">
        <v>0</v>
      </c>
      <c r="Z119" s="50">
        <f>SUM(C119:Y119)</f>
        <v>3.3</v>
      </c>
    </row>
    <row r="120" spans="1:26" x14ac:dyDescent="0.2">
      <c r="A120" s="42" t="s">
        <v>270</v>
      </c>
      <c r="B120" s="4" t="s">
        <v>136</v>
      </c>
      <c r="C120" s="5">
        <v>0</v>
      </c>
      <c r="D120" s="5">
        <v>0</v>
      </c>
      <c r="E120" s="5">
        <v>0</v>
      </c>
      <c r="F120" s="10">
        <v>0</v>
      </c>
      <c r="G120" s="10">
        <v>0</v>
      </c>
      <c r="H120" s="10">
        <v>3.3</v>
      </c>
      <c r="I120" s="10">
        <v>0</v>
      </c>
      <c r="J120" s="10">
        <v>0</v>
      </c>
      <c r="K120" s="10">
        <v>0</v>
      </c>
      <c r="L120" s="9">
        <v>0</v>
      </c>
      <c r="M120" s="9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45">
        <v>0</v>
      </c>
      <c r="X120" s="5">
        <v>0</v>
      </c>
      <c r="Y120" s="5">
        <v>0</v>
      </c>
      <c r="Z120" s="50">
        <f>SUM(C120:Y120)</f>
        <v>3.3</v>
      </c>
    </row>
    <row r="121" spans="1:26" x14ac:dyDescent="0.2">
      <c r="A121" s="42" t="s">
        <v>279</v>
      </c>
      <c r="B121" s="4" t="s">
        <v>111</v>
      </c>
      <c r="C121" s="5">
        <v>0</v>
      </c>
      <c r="D121" s="5">
        <v>0</v>
      </c>
      <c r="E121" s="5">
        <v>0</v>
      </c>
      <c r="F121" s="10">
        <f>320*0.01</f>
        <v>3.2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9">
        <v>0</v>
      </c>
      <c r="M121" s="9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45">
        <v>0</v>
      </c>
      <c r="X121" s="5">
        <v>0</v>
      </c>
      <c r="Y121" s="5">
        <v>0</v>
      </c>
      <c r="Z121" s="50">
        <f>SUM(C121:Y121)</f>
        <v>3.2</v>
      </c>
    </row>
    <row r="122" spans="1:26" x14ac:dyDescent="0.2">
      <c r="A122" s="42" t="s">
        <v>280</v>
      </c>
      <c r="B122" s="4" t="s">
        <v>47</v>
      </c>
      <c r="C122" s="5">
        <v>0</v>
      </c>
      <c r="D122" s="5">
        <v>2.8</v>
      </c>
      <c r="E122" s="5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9">
        <v>0</v>
      </c>
      <c r="M122" s="9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45">
        <v>0</v>
      </c>
      <c r="X122" s="5">
        <v>0</v>
      </c>
      <c r="Y122" s="5">
        <v>0</v>
      </c>
      <c r="Z122" s="50">
        <f>SUM(C122:Y122)</f>
        <v>2.8</v>
      </c>
    </row>
    <row r="123" spans="1:26" x14ac:dyDescent="0.2">
      <c r="A123" s="42" t="s">
        <v>282</v>
      </c>
      <c r="B123" s="4" t="s">
        <v>49</v>
      </c>
      <c r="C123" s="5">
        <v>0</v>
      </c>
      <c r="D123" s="5">
        <v>2.8</v>
      </c>
      <c r="E123" s="5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9">
        <v>0</v>
      </c>
      <c r="M123" s="9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45">
        <v>0</v>
      </c>
      <c r="X123" s="5">
        <v>0</v>
      </c>
      <c r="Y123" s="5">
        <v>0</v>
      </c>
      <c r="Z123" s="50">
        <f>SUM(C123:Y123)</f>
        <v>2.8</v>
      </c>
    </row>
    <row r="124" spans="1:26" x14ac:dyDescent="0.2">
      <c r="A124" s="42" t="s">
        <v>283</v>
      </c>
      <c r="B124" s="4" t="s">
        <v>262</v>
      </c>
      <c r="C124" s="5">
        <v>0</v>
      </c>
      <c r="D124" s="5">
        <v>0</v>
      </c>
      <c r="E124" s="5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45">
        <f>270*0.01</f>
        <v>2.7</v>
      </c>
      <c r="X124" s="5">
        <v>0</v>
      </c>
      <c r="Y124" s="5">
        <v>0</v>
      </c>
      <c r="Z124" s="50">
        <f>SUM(C124:Y124)</f>
        <v>2.7</v>
      </c>
    </row>
    <row r="125" spans="1:26" x14ac:dyDescent="0.2">
      <c r="A125" s="42" t="s">
        <v>284</v>
      </c>
      <c r="B125" s="53" t="s">
        <v>292</v>
      </c>
      <c r="C125" s="5">
        <v>0</v>
      </c>
      <c r="D125" s="5">
        <v>0</v>
      </c>
      <c r="E125" s="5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45">
        <v>0</v>
      </c>
      <c r="X125" s="5">
        <v>0</v>
      </c>
      <c r="Y125" s="5">
        <f>270*0.01</f>
        <v>2.7</v>
      </c>
      <c r="Z125" s="50">
        <f>SUM(C125:Y125)</f>
        <v>2.7</v>
      </c>
    </row>
    <row r="126" spans="1:26" x14ac:dyDescent="0.2">
      <c r="A126" s="42" t="s">
        <v>285</v>
      </c>
      <c r="B126" s="53" t="s">
        <v>293</v>
      </c>
      <c r="C126" s="5">
        <v>0</v>
      </c>
      <c r="D126" s="5">
        <v>0</v>
      </c>
      <c r="E126" s="5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45">
        <v>0</v>
      </c>
      <c r="X126" s="5">
        <v>0</v>
      </c>
      <c r="Y126" s="5">
        <f>270*0.01</f>
        <v>2.7</v>
      </c>
      <c r="Z126" s="50">
        <f>SUM(C126:Y126)</f>
        <v>2.7</v>
      </c>
    </row>
    <row r="127" spans="1:26" x14ac:dyDescent="0.2">
      <c r="A127" s="42" t="s">
        <v>290</v>
      </c>
      <c r="B127" s="4" t="s">
        <v>191</v>
      </c>
      <c r="C127" s="5">
        <v>0</v>
      </c>
      <c r="D127" s="5">
        <v>0</v>
      </c>
      <c r="E127" s="5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9">
        <v>0</v>
      </c>
      <c r="M127" s="10">
        <v>2.6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45">
        <v>0</v>
      </c>
      <c r="X127" s="5">
        <v>0</v>
      </c>
      <c r="Y127" s="5">
        <v>0</v>
      </c>
      <c r="Z127" s="50">
        <f>SUM(C127:Y127)</f>
        <v>2.6</v>
      </c>
    </row>
    <row r="128" spans="1:26" x14ac:dyDescent="0.2">
      <c r="A128" s="42" t="s">
        <v>291</v>
      </c>
      <c r="B128" s="4" t="s">
        <v>250</v>
      </c>
      <c r="C128" s="5">
        <v>0</v>
      </c>
      <c r="D128" s="5">
        <v>0</v>
      </c>
      <c r="E128" s="5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10">
        <v>2.4</v>
      </c>
      <c r="V128" s="10">
        <v>0</v>
      </c>
      <c r="W128" s="45">
        <v>0</v>
      </c>
      <c r="X128" s="5">
        <v>0</v>
      </c>
      <c r="Y128" s="5">
        <v>0</v>
      </c>
      <c r="Z128" s="50">
        <f>SUM(C128:Y128)</f>
        <v>2.4</v>
      </c>
    </row>
    <row r="135" spans="1:1" x14ac:dyDescent="0.2">
      <c r="A135">
        <v>33</v>
      </c>
    </row>
    <row r="136" spans="1:1" x14ac:dyDescent="0.2">
      <c r="A136">
        <v>31.6</v>
      </c>
    </row>
    <row r="137" spans="1:1" x14ac:dyDescent="0.2">
      <c r="A137" t="s">
        <v>55</v>
      </c>
    </row>
    <row r="138" spans="1:1" x14ac:dyDescent="0.2">
      <c r="A138">
        <v>28.6</v>
      </c>
    </row>
    <row r="139" spans="1:1" x14ac:dyDescent="0.2">
      <c r="A139">
        <v>23.8</v>
      </c>
    </row>
    <row r="140" spans="1:1" x14ac:dyDescent="0.2">
      <c r="A140">
        <v>23.8</v>
      </c>
    </row>
    <row r="141" spans="1:1" x14ac:dyDescent="0.2">
      <c r="A141">
        <v>21</v>
      </c>
    </row>
    <row r="142" spans="1:1" x14ac:dyDescent="0.2">
      <c r="A142" s="1">
        <v>45096</v>
      </c>
    </row>
    <row r="143" spans="1:1" x14ac:dyDescent="0.2">
      <c r="A143" s="1">
        <v>45094</v>
      </c>
    </row>
    <row r="144" spans="1:1" x14ac:dyDescent="0.2">
      <c r="A144">
        <v>15.6</v>
      </c>
    </row>
    <row r="145" spans="1:1" x14ac:dyDescent="0.2">
      <c r="A145">
        <v>15.4</v>
      </c>
    </row>
    <row r="146" spans="1:1" x14ac:dyDescent="0.2">
      <c r="A146" s="1">
        <v>45031</v>
      </c>
    </row>
    <row r="147" spans="1:1" x14ac:dyDescent="0.2">
      <c r="A147">
        <v>13.2</v>
      </c>
    </row>
    <row r="148" spans="1:1" x14ac:dyDescent="0.2">
      <c r="A148">
        <v>13.2</v>
      </c>
    </row>
    <row r="149" spans="1:1" x14ac:dyDescent="0.2">
      <c r="A149" s="1">
        <v>44968</v>
      </c>
    </row>
    <row r="150" spans="1:1" x14ac:dyDescent="0.2">
      <c r="A150">
        <v>10</v>
      </c>
    </row>
    <row r="151" spans="1:1" x14ac:dyDescent="0.2">
      <c r="A151" s="1">
        <v>45147</v>
      </c>
    </row>
    <row r="152" spans="1:1" x14ac:dyDescent="0.2">
      <c r="A152">
        <v>8.8000000000000007</v>
      </c>
    </row>
    <row r="153" spans="1:1" x14ac:dyDescent="0.2">
      <c r="A153">
        <v>8.4</v>
      </c>
    </row>
    <row r="154" spans="1:1" x14ac:dyDescent="0.2">
      <c r="A154">
        <v>5.6</v>
      </c>
    </row>
    <row r="155" spans="1:1" x14ac:dyDescent="0.2">
      <c r="A155">
        <v>2.8</v>
      </c>
    </row>
    <row r="156" spans="1:1" x14ac:dyDescent="0.2">
      <c r="A156">
        <v>2.8</v>
      </c>
    </row>
    <row r="164" spans="1:26" ht="17" thickBot="1" x14ac:dyDescent="0.25"/>
    <row r="165" spans="1:26" x14ac:dyDescent="0.2">
      <c r="A165" s="11"/>
      <c r="B165" s="12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T165" s="34"/>
      <c r="U165" s="34"/>
      <c r="V165" s="34"/>
      <c r="W165" s="34"/>
      <c r="Z165" s="14"/>
    </row>
  </sheetData>
  <sortState xmlns:xlrd2="http://schemas.microsoft.com/office/spreadsheetml/2017/richdata2" ref="B3:Z128">
    <sortCondition descending="1" ref="Z3:Z128"/>
  </sortState>
  <phoneticPr fontId="2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2023-01-04T07:39:07Z</dcterms:created>
  <dcterms:modified xsi:type="dcterms:W3CDTF">2023-02-03T12:24:25Z</dcterms:modified>
</cp:coreProperties>
</file>